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ablo/Downloads/"/>
    </mc:Choice>
  </mc:AlternateContent>
  <xr:revisionPtr revIDLastSave="0" documentId="13_ncr:1_{BFC97CD4-7372-314D-BD9D-6A20FD527CFC}" xr6:coauthVersionLast="45" xr6:coauthVersionMax="45" xr10:uidLastSave="{00000000-0000-0000-0000-000000000000}"/>
  <bookViews>
    <workbookView xWindow="0" yWindow="460" windowWidth="28800" windowHeight="17520" xr2:uid="{291FE29A-F70A-4267-8024-D2F49FF0F928}"/>
  </bookViews>
  <sheets>
    <sheet name="ACTUAL - 2019 (eject)" sheetId="1" r:id="rId1"/>
  </sheets>
  <externalReferences>
    <externalReference r:id="rId2"/>
    <externalReference r:id="rId3"/>
  </externalReferences>
  <definedNames>
    <definedName name="_xlnm._FilterDatabase" localSheetId="0" hidden="1">'ACTUAL - 2019 (eject)'!$A$1:$AI$51</definedName>
    <definedName name="_xlnm.Print_Area" localSheetId="0">'ACTUAL - 2019 (eject)'!$B$1:$AI$51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V67" i="1" l="1"/>
  <c r="Z59" i="1"/>
  <c r="AK51" i="1"/>
  <c r="AJ51" i="1"/>
  <c r="AM52" i="1" s="1"/>
  <c r="Y50" i="1"/>
  <c r="S50" i="1"/>
  <c r="AH49" i="1"/>
  <c r="AG49" i="1"/>
  <c r="AF49" i="1"/>
  <c r="AD49" i="1"/>
  <c r="AC49" i="1"/>
  <c r="AA49" i="1"/>
  <c r="Z49" i="1"/>
  <c r="X49" i="1"/>
  <c r="W49" i="1"/>
  <c r="U49" i="1"/>
  <c r="T49" i="1"/>
  <c r="R49" i="1"/>
  <c r="Q49" i="1"/>
  <c r="O49" i="1"/>
  <c r="N49" i="1"/>
  <c r="M49" i="1"/>
  <c r="L49" i="1"/>
  <c r="I49" i="1"/>
  <c r="H49" i="1"/>
  <c r="AM48" i="1"/>
  <c r="AM49" i="1" s="1"/>
  <c r="AL48" i="1"/>
  <c r="AE48" i="1"/>
  <c r="AE49" i="1" s="1"/>
  <c r="AB48" i="1"/>
  <c r="Y48" i="1"/>
  <c r="V48" i="1"/>
  <c r="S48" i="1"/>
  <c r="J48" i="1"/>
  <c r="AN47" i="1"/>
  <c r="AI47" i="1"/>
  <c r="AI49" i="1" s="1"/>
  <c r="AB47" i="1"/>
  <c r="Y47" i="1"/>
  <c r="V47" i="1"/>
  <c r="K47" i="1"/>
  <c r="K49" i="1" s="1"/>
  <c r="P47" i="1"/>
  <c r="AI46" i="1"/>
  <c r="AH46" i="1"/>
  <c r="AG46" i="1"/>
  <c r="AF46" i="1"/>
  <c r="AD46" i="1"/>
  <c r="AA46" i="1"/>
  <c r="Z46" i="1"/>
  <c r="W46" i="1"/>
  <c r="U46" i="1"/>
  <c r="T46" i="1"/>
  <c r="S46" i="1"/>
  <c r="R46" i="1"/>
  <c r="Q46" i="1"/>
  <c r="O46" i="1"/>
  <c r="N46" i="1"/>
  <c r="M46" i="1"/>
  <c r="L46" i="1"/>
  <c r="I46" i="1"/>
  <c r="H46" i="1"/>
  <c r="AN45" i="1"/>
  <c r="AE45" i="1"/>
  <c r="AB45" i="1"/>
  <c r="Y45" i="1"/>
  <c r="V45" i="1"/>
  <c r="J45" i="1"/>
  <c r="AM44" i="1"/>
  <c r="AL44" i="1"/>
  <c r="AE44" i="1"/>
  <c r="AB44" i="1"/>
  <c r="Y44" i="1"/>
  <c r="V44" i="1"/>
  <c r="P44" i="1"/>
  <c r="AM43" i="1"/>
  <c r="AL43" i="1"/>
  <c r="AE43" i="1"/>
  <c r="AB43" i="1"/>
  <c r="Y43" i="1"/>
  <c r="V43" i="1"/>
  <c r="P43" i="1"/>
  <c r="AM42" i="1"/>
  <c r="AL42" i="1"/>
  <c r="AE42" i="1"/>
  <c r="AB42" i="1"/>
  <c r="Y42" i="1"/>
  <c r="V42" i="1"/>
  <c r="J42" i="1"/>
  <c r="AM41" i="1"/>
  <c r="AL41" i="1"/>
  <c r="AC41" i="1"/>
  <c r="AC46" i="1" s="1"/>
  <c r="AB41" i="1"/>
  <c r="Y41" i="1"/>
  <c r="V41" i="1"/>
  <c r="J41" i="1"/>
  <c r="AM40" i="1"/>
  <c r="AL40" i="1"/>
  <c r="AE40" i="1"/>
  <c r="AB40" i="1"/>
  <c r="X40" i="1"/>
  <c r="V40" i="1"/>
  <c r="K40" i="1"/>
  <c r="K46" i="1" s="1"/>
  <c r="J40" i="1"/>
  <c r="AM39" i="1"/>
  <c r="AL39" i="1"/>
  <c r="AI39" i="1"/>
  <c r="AH39" i="1"/>
  <c r="AG39" i="1"/>
  <c r="AF39" i="1"/>
  <c r="AE39" i="1"/>
  <c r="AD39" i="1"/>
  <c r="AC39" i="1"/>
  <c r="AA39" i="1"/>
  <c r="Z39" i="1"/>
  <c r="X39" i="1"/>
  <c r="W39" i="1"/>
  <c r="U39" i="1"/>
  <c r="T39" i="1"/>
  <c r="R39" i="1"/>
  <c r="Q39" i="1"/>
  <c r="O39" i="1"/>
  <c r="N39" i="1"/>
  <c r="M39" i="1"/>
  <c r="L39" i="1"/>
  <c r="K39" i="1"/>
  <c r="I39" i="1"/>
  <c r="H39" i="1"/>
  <c r="AN38" i="1"/>
  <c r="AN39" i="1" s="1"/>
  <c r="AB38" i="1"/>
  <c r="AB39" i="1" s="1"/>
  <c r="Y38" i="1"/>
  <c r="V38" i="1"/>
  <c r="V39" i="1" s="1"/>
  <c r="S38" i="1"/>
  <c r="S39" i="1" s="1"/>
  <c r="P38" i="1"/>
  <c r="AH37" i="1"/>
  <c r="AG37" i="1"/>
  <c r="AD37" i="1"/>
  <c r="AC37" i="1"/>
  <c r="AA37" i="1"/>
  <c r="Z37" i="1"/>
  <c r="U37" i="1"/>
  <c r="T37" i="1"/>
  <c r="R37" i="1"/>
  <c r="Q37" i="1"/>
  <c r="O37" i="1"/>
  <c r="N37" i="1"/>
  <c r="M37" i="1"/>
  <c r="L37" i="1"/>
  <c r="K37" i="1"/>
  <c r="I37" i="1"/>
  <c r="H37" i="1"/>
  <c r="AN36" i="1"/>
  <c r="AF36" i="1"/>
  <c r="AE36" i="1"/>
  <c r="AB36" i="1"/>
  <c r="X36" i="1"/>
  <c r="W36" i="1"/>
  <c r="V36" i="1"/>
  <c r="S36" i="1"/>
  <c r="P36" i="1"/>
  <c r="AN35" i="1"/>
  <c r="AI35" i="1"/>
  <c r="AI37" i="1" s="1"/>
  <c r="AF35" i="1"/>
  <c r="AE35" i="1"/>
  <c r="AB35" i="1"/>
  <c r="Y35" i="1"/>
  <c r="V35" i="1"/>
  <c r="S35" i="1"/>
  <c r="J35" i="1"/>
  <c r="AN34" i="1"/>
  <c r="AF34" i="1"/>
  <c r="AE34" i="1"/>
  <c r="AB34" i="1"/>
  <c r="X34" i="1"/>
  <c r="W34" i="1"/>
  <c r="V34" i="1"/>
  <c r="S34" i="1"/>
  <c r="P34" i="1"/>
  <c r="AN33" i="1"/>
  <c r="AF33" i="1"/>
  <c r="AE33" i="1"/>
  <c r="AB33" i="1"/>
  <c r="X33" i="1"/>
  <c r="W33" i="1"/>
  <c r="V33" i="1"/>
  <c r="S33" i="1"/>
  <c r="J33" i="1"/>
  <c r="AM32" i="1"/>
  <c r="AL32" i="1"/>
  <c r="AF32" i="1"/>
  <c r="AE32" i="1"/>
  <c r="AB32" i="1"/>
  <c r="W32" i="1"/>
  <c r="Y32" i="1" s="1"/>
  <c r="V32" i="1"/>
  <c r="S32" i="1"/>
  <c r="P32" i="1"/>
  <c r="AM31" i="1"/>
  <c r="AL31" i="1"/>
  <c r="AF31" i="1"/>
  <c r="AE31" i="1"/>
  <c r="AB31" i="1"/>
  <c r="Y31" i="1"/>
  <c r="V31" i="1"/>
  <c r="S31" i="1"/>
  <c r="P31" i="1"/>
  <c r="AN30" i="1"/>
  <c r="AF30" i="1"/>
  <c r="AE30" i="1"/>
  <c r="AB30" i="1"/>
  <c r="X30" i="1"/>
  <c r="W30" i="1"/>
  <c r="V30" i="1"/>
  <c r="S30" i="1"/>
  <c r="J30" i="1"/>
  <c r="AN29" i="1"/>
  <c r="AF29" i="1"/>
  <c r="AE29" i="1"/>
  <c r="AB29" i="1"/>
  <c r="X29" i="1"/>
  <c r="W29" i="1"/>
  <c r="V29" i="1"/>
  <c r="S29" i="1"/>
  <c r="P29" i="1"/>
  <c r="AN28" i="1"/>
  <c r="AF28" i="1"/>
  <c r="AE28" i="1"/>
  <c r="AB28" i="1"/>
  <c r="Y28" i="1"/>
  <c r="V28" i="1"/>
  <c r="S28" i="1"/>
  <c r="P28" i="1"/>
  <c r="AH27" i="1"/>
  <c r="AG27" i="1"/>
  <c r="AD27" i="1"/>
  <c r="AC27" i="1"/>
  <c r="AA27" i="1"/>
  <c r="Z27" i="1"/>
  <c r="U27" i="1"/>
  <c r="T27" i="1"/>
  <c r="R27" i="1"/>
  <c r="Q27" i="1"/>
  <c r="O27" i="1"/>
  <c r="N27" i="1"/>
  <c r="M27" i="1"/>
  <c r="L27" i="1"/>
  <c r="K27" i="1"/>
  <c r="I27" i="1"/>
  <c r="H27" i="1"/>
  <c r="AL26" i="1"/>
  <c r="AN26" i="1" s="1"/>
  <c r="AF26" i="1"/>
  <c r="AE26" i="1"/>
  <c r="AB26" i="1"/>
  <c r="W26" i="1"/>
  <c r="Y26" i="1" s="1"/>
  <c r="V26" i="1"/>
  <c r="S26" i="1"/>
  <c r="S27" i="1" s="1"/>
  <c r="P26" i="1"/>
  <c r="AM25" i="1"/>
  <c r="AM27" i="1" s="1"/>
  <c r="AL25" i="1"/>
  <c r="AI25" i="1"/>
  <c r="AI27" i="1" s="1"/>
  <c r="AF25" i="1"/>
  <c r="AE25" i="1"/>
  <c r="AB25" i="1"/>
  <c r="X25" i="1"/>
  <c r="X27" i="1" s="1"/>
  <c r="W25" i="1"/>
  <c r="V25" i="1"/>
  <c r="J25" i="1"/>
  <c r="P25" i="1"/>
  <c r="AI24" i="1"/>
  <c r="AH24" i="1"/>
  <c r="AG24" i="1"/>
  <c r="AD24" i="1"/>
  <c r="AC24" i="1"/>
  <c r="AA24" i="1"/>
  <c r="Z24" i="1"/>
  <c r="U24" i="1"/>
  <c r="T24" i="1"/>
  <c r="R24" i="1"/>
  <c r="Q24" i="1"/>
  <c r="O24" i="1"/>
  <c r="N24" i="1"/>
  <c r="M24" i="1"/>
  <c r="L24" i="1"/>
  <c r="I24" i="1"/>
  <c r="H24" i="1"/>
  <c r="AM23" i="1"/>
  <c r="AM24" i="1" s="1"/>
  <c r="AL23" i="1"/>
  <c r="AF23" i="1"/>
  <c r="AE23" i="1"/>
  <c r="AB23" i="1"/>
  <c r="W23" i="1"/>
  <c r="Y23" i="1" s="1"/>
  <c r="V23" i="1"/>
  <c r="S23" i="1"/>
  <c r="J23" i="1"/>
  <c r="AL22" i="1"/>
  <c r="AF22" i="1"/>
  <c r="AE22" i="1"/>
  <c r="AB22" i="1"/>
  <c r="W22" i="1"/>
  <c r="V22" i="1"/>
  <c r="S22" i="1"/>
  <c r="P22" i="1"/>
  <c r="AN21" i="1"/>
  <c r="AF21" i="1"/>
  <c r="AB21" i="1"/>
  <c r="X21" i="1"/>
  <c r="V21" i="1"/>
  <c r="K21" i="1"/>
  <c r="K24" i="1" s="1"/>
  <c r="P21" i="1"/>
  <c r="AI20" i="1"/>
  <c r="AH20" i="1"/>
  <c r="AG20" i="1"/>
  <c r="AD20" i="1"/>
  <c r="AC20" i="1"/>
  <c r="AA20" i="1"/>
  <c r="Z20" i="1"/>
  <c r="X20" i="1"/>
  <c r="U20" i="1"/>
  <c r="T20" i="1"/>
  <c r="R20" i="1"/>
  <c r="Q20" i="1"/>
  <c r="O20" i="1"/>
  <c r="N20" i="1"/>
  <c r="M20" i="1"/>
  <c r="L20" i="1"/>
  <c r="K20" i="1"/>
  <c r="I20" i="1"/>
  <c r="H20" i="1"/>
  <c r="AM19" i="1"/>
  <c r="AM20" i="1" s="1"/>
  <c r="AF19" i="1"/>
  <c r="AF20" i="1" s="1"/>
  <c r="AE19" i="1"/>
  <c r="AE20" i="1" s="1"/>
  <c r="AB19" i="1"/>
  <c r="AB20" i="1" s="1"/>
  <c r="W19" i="1"/>
  <c r="AL19" i="1" s="1"/>
  <c r="V19" i="1"/>
  <c r="V20" i="1" s="1"/>
  <c r="S19" i="1"/>
  <c r="J19" i="1"/>
  <c r="AH18" i="1"/>
  <c r="AG18" i="1"/>
  <c r="AD18" i="1"/>
  <c r="AA18" i="1"/>
  <c r="Z18" i="1"/>
  <c r="U18" i="1"/>
  <c r="T18" i="1"/>
  <c r="R18" i="1"/>
  <c r="Q18" i="1"/>
  <c r="O18" i="1"/>
  <c r="N18" i="1"/>
  <c r="M18" i="1"/>
  <c r="L18" i="1"/>
  <c r="K18" i="1"/>
  <c r="I18" i="1"/>
  <c r="H18" i="1"/>
  <c r="AI17" i="1"/>
  <c r="AI18" i="1" s="1"/>
  <c r="AF17" i="1"/>
  <c r="AF18" i="1" s="1"/>
  <c r="AC17" i="1"/>
  <c r="AE17" i="1" s="1"/>
  <c r="AE18" i="1" s="1"/>
  <c r="AB17" i="1"/>
  <c r="AB18" i="1" s="1"/>
  <c r="X17" i="1"/>
  <c r="AM17" i="1" s="1"/>
  <c r="AM18" i="1" s="1"/>
  <c r="W17" i="1"/>
  <c r="W18" i="1" s="1"/>
  <c r="V17" i="1"/>
  <c r="V18" i="1" s="1"/>
  <c r="S17" i="1"/>
  <c r="S18" i="1" s="1"/>
  <c r="P17" i="1"/>
  <c r="AM16" i="1"/>
  <c r="AL16" i="1"/>
  <c r="AH16" i="1"/>
  <c r="AG16" i="1"/>
  <c r="AD16" i="1"/>
  <c r="AC16" i="1"/>
  <c r="AA16" i="1"/>
  <c r="Z16" i="1"/>
  <c r="X16" i="1"/>
  <c r="W16" i="1"/>
  <c r="U16" i="1"/>
  <c r="T16" i="1"/>
  <c r="R16" i="1"/>
  <c r="Q16" i="1"/>
  <c r="N16" i="1"/>
  <c r="M16" i="1"/>
  <c r="L16" i="1"/>
  <c r="I16" i="1"/>
  <c r="H16" i="1"/>
  <c r="AN15" i="1"/>
  <c r="AF15" i="1"/>
  <c r="AE15" i="1"/>
  <c r="AB15" i="1"/>
  <c r="Y15" i="1"/>
  <c r="V15" i="1"/>
  <c r="S15" i="1"/>
  <c r="J15" i="1"/>
  <c r="AN14" i="1"/>
  <c r="AF14" i="1"/>
  <c r="AE14" i="1"/>
  <c r="AB14" i="1"/>
  <c r="Y14" i="1"/>
  <c r="V14" i="1"/>
  <c r="S14" i="1"/>
  <c r="J14" i="1"/>
  <c r="AN13" i="1"/>
  <c r="AF13" i="1"/>
  <c r="AE13" i="1"/>
  <c r="AB13" i="1"/>
  <c r="Y13" i="1"/>
  <c r="V13" i="1"/>
  <c r="S13" i="1"/>
  <c r="J13" i="1"/>
  <c r="AN12" i="1"/>
  <c r="AF12" i="1"/>
  <c r="AE12" i="1"/>
  <c r="AB12" i="1"/>
  <c r="Y12" i="1"/>
  <c r="V12" i="1"/>
  <c r="S12" i="1"/>
  <c r="J12" i="1"/>
  <c r="AN11" i="1"/>
  <c r="AF11" i="1"/>
  <c r="AE11" i="1"/>
  <c r="AB11" i="1"/>
  <c r="Y11" i="1"/>
  <c r="V11" i="1"/>
  <c r="J11" i="1"/>
  <c r="AN10" i="1"/>
  <c r="AF10" i="1"/>
  <c r="AE10" i="1"/>
  <c r="AB10" i="1"/>
  <c r="Y10" i="1"/>
  <c r="V10" i="1"/>
  <c r="J10" i="1"/>
  <c r="AN9" i="1"/>
  <c r="AI9" i="1"/>
  <c r="AI16" i="1" s="1"/>
  <c r="AF9" i="1"/>
  <c r="AE9" i="1"/>
  <c r="AB9" i="1"/>
  <c r="Y9" i="1"/>
  <c r="V9" i="1"/>
  <c r="S9" i="1"/>
  <c r="J9" i="1"/>
  <c r="AN8" i="1"/>
  <c r="AF8" i="1"/>
  <c r="AE8" i="1"/>
  <c r="AB8" i="1"/>
  <c r="Y8" i="1"/>
  <c r="V8" i="1"/>
  <c r="J8" i="1"/>
  <c r="AN7" i="1"/>
  <c r="AF7" i="1"/>
  <c r="AE7" i="1"/>
  <c r="AB7" i="1"/>
  <c r="Y7" i="1"/>
  <c r="V7" i="1"/>
  <c r="S7" i="1"/>
  <c r="K7" i="1"/>
  <c r="K16" i="1" s="1"/>
  <c r="J7" i="1"/>
  <c r="AI6" i="1"/>
  <c r="AH6" i="1"/>
  <c r="AG6" i="1"/>
  <c r="AD6" i="1"/>
  <c r="AC6" i="1"/>
  <c r="AA6" i="1"/>
  <c r="Z6" i="1"/>
  <c r="U6" i="1"/>
  <c r="T6" i="1"/>
  <c r="S6" i="1"/>
  <c r="R6" i="1"/>
  <c r="Q6" i="1"/>
  <c r="O6" i="1"/>
  <c r="N6" i="1"/>
  <c r="M6" i="1"/>
  <c r="L6" i="1"/>
  <c r="I6" i="1"/>
  <c r="H6" i="1"/>
  <c r="D6" i="1"/>
  <c r="AN5" i="1"/>
  <c r="AF5" i="1"/>
  <c r="AE5" i="1"/>
  <c r="AB5" i="1"/>
  <c r="Y5" i="1"/>
  <c r="V5" i="1"/>
  <c r="P5" i="1"/>
  <c r="AM4" i="1"/>
  <c r="AM6" i="1" s="1"/>
  <c r="AL4" i="1"/>
  <c r="AL6" i="1" s="1"/>
  <c r="AF4" i="1"/>
  <c r="AE4" i="1"/>
  <c r="AB4" i="1"/>
  <c r="X4" i="1"/>
  <c r="X6" i="1" s="1"/>
  <c r="W4" i="1"/>
  <c r="V4" i="1"/>
  <c r="K4" i="1"/>
  <c r="K6" i="1" s="1"/>
  <c r="J4" i="1"/>
  <c r="V27" i="1" l="1"/>
  <c r="AB49" i="1"/>
  <c r="AN42" i="1"/>
  <c r="Y29" i="1"/>
  <c r="AF27" i="1"/>
  <c r="AE24" i="1"/>
  <c r="AN43" i="1"/>
  <c r="AN44" i="1"/>
  <c r="J47" i="1"/>
  <c r="Y39" i="1"/>
  <c r="AN41" i="1"/>
  <c r="P4" i="1"/>
  <c r="V6" i="1"/>
  <c r="AN48" i="1"/>
  <c r="AN49" i="1" s="1"/>
  <c r="Y49" i="1"/>
  <c r="AF6" i="1"/>
  <c r="AN31" i="1"/>
  <c r="J34" i="1"/>
  <c r="J38" i="1"/>
  <c r="I52" i="1"/>
  <c r="AB27" i="1"/>
  <c r="AL27" i="1"/>
  <c r="AM37" i="1"/>
  <c r="E6" i="1"/>
  <c r="AB6" i="1"/>
  <c r="AL24" i="1"/>
  <c r="Y33" i="1"/>
  <c r="P41" i="1"/>
  <c r="AE6" i="1"/>
  <c r="P30" i="1"/>
  <c r="AN32" i="1"/>
  <c r="AM46" i="1"/>
  <c r="AN25" i="1"/>
  <c r="AN27" i="1" s="1"/>
  <c r="W37" i="1"/>
  <c r="Y4" i="1"/>
  <c r="AL49" i="1"/>
  <c r="AD51" i="1"/>
  <c r="AE16" i="1"/>
  <c r="AB16" i="1"/>
  <c r="AA51" i="1"/>
  <c r="W20" i="1"/>
  <c r="Y20" i="1" s="1"/>
  <c r="J21" i="1"/>
  <c r="AB24" i="1"/>
  <c r="F6" i="1"/>
  <c r="H51" i="1"/>
  <c r="K52" i="1" s="1"/>
  <c r="P8" i="1"/>
  <c r="Y17" i="1"/>
  <c r="AF24" i="1"/>
  <c r="J22" i="1"/>
  <c r="S37" i="1"/>
  <c r="AE37" i="1"/>
  <c r="AL37" i="1"/>
  <c r="J44" i="1"/>
  <c r="P48" i="1"/>
  <c r="J5" i="1"/>
  <c r="N51" i="1"/>
  <c r="Q52" i="1" s="1"/>
  <c r="AG51" i="1"/>
  <c r="Y16" i="1"/>
  <c r="X18" i="1"/>
  <c r="Y18" i="1" s="1"/>
  <c r="Y19" i="1"/>
  <c r="S24" i="1"/>
  <c r="AN23" i="1"/>
  <c r="J26" i="1"/>
  <c r="V37" i="1"/>
  <c r="X37" i="1"/>
  <c r="Y30" i="1"/>
  <c r="J31" i="1"/>
  <c r="Y34" i="1"/>
  <c r="Y36" i="1"/>
  <c r="P42" i="1"/>
  <c r="V49" i="1"/>
  <c r="AF16" i="1"/>
  <c r="C56" i="1"/>
  <c r="K51" i="1"/>
  <c r="N52" i="1" s="1"/>
  <c r="AL17" i="1"/>
  <c r="AN4" i="1"/>
  <c r="H52" i="1"/>
  <c r="I51" i="1"/>
  <c r="L52" i="1" s="1"/>
  <c r="S16" i="1"/>
  <c r="AI51" i="1"/>
  <c r="W27" i="1"/>
  <c r="Y27" i="1" s="1"/>
  <c r="Y25" i="1"/>
  <c r="V16" i="1"/>
  <c r="X24" i="1"/>
  <c r="Y21" i="1"/>
  <c r="X46" i="1"/>
  <c r="Y46" i="1" s="1"/>
  <c r="Y40" i="1"/>
  <c r="AE41" i="1"/>
  <c r="AE46" i="1" s="1"/>
  <c r="J52" i="1"/>
  <c r="L51" i="1"/>
  <c r="O52" i="1" s="1"/>
  <c r="Q51" i="1"/>
  <c r="T52" i="1" s="1"/>
  <c r="U51" i="1"/>
  <c r="AN16" i="1"/>
  <c r="P23" i="1"/>
  <c r="J32" i="1"/>
  <c r="J36" i="1"/>
  <c r="AB46" i="1"/>
  <c r="J43" i="1"/>
  <c r="V46" i="1"/>
  <c r="S20" i="1"/>
  <c r="V24" i="1"/>
  <c r="AN40" i="1"/>
  <c r="AL46" i="1"/>
  <c r="T51" i="1"/>
  <c r="Z51" i="1"/>
  <c r="AH51" i="1"/>
  <c r="AF37" i="1"/>
  <c r="M51" i="1"/>
  <c r="P52" i="1" s="1"/>
  <c r="R51" i="1"/>
  <c r="U52" i="1" s="1"/>
  <c r="W6" i="1"/>
  <c r="AN6" i="1"/>
  <c r="P19" i="1"/>
  <c r="AL20" i="1"/>
  <c r="AN19" i="1"/>
  <c r="AN20" i="1" s="1"/>
  <c r="W24" i="1"/>
  <c r="Y22" i="1"/>
  <c r="AE27" i="1"/>
  <c r="AB37" i="1"/>
  <c r="P33" i="1"/>
  <c r="P35" i="1"/>
  <c r="S49" i="1"/>
  <c r="J17" i="1"/>
  <c r="AC18" i="1"/>
  <c r="AC51" i="1" s="1"/>
  <c r="J28" i="1"/>
  <c r="J29" i="1"/>
  <c r="AN22" i="1"/>
  <c r="AN37" i="1" l="1"/>
  <c r="AF51" i="1"/>
  <c r="AN24" i="1"/>
  <c r="AN46" i="1"/>
  <c r="X51" i="1"/>
  <c r="AJ52" i="1"/>
  <c r="AM51" i="1"/>
  <c r="S51" i="1"/>
  <c r="V69" i="1" s="1"/>
  <c r="Y37" i="1"/>
  <c r="C57" i="1"/>
  <c r="AB51" i="1"/>
  <c r="Y24" i="1"/>
  <c r="V51" i="1"/>
  <c r="AE51" i="1"/>
  <c r="AL18" i="1"/>
  <c r="AL51" i="1" s="1"/>
  <c r="AN17" i="1"/>
  <c r="AN18" i="1" s="1"/>
  <c r="Y6" i="1"/>
  <c r="W51" i="1"/>
  <c r="AN51" i="1" l="1"/>
  <c r="AO52" i="1" s="1"/>
  <c r="Y51" i="1"/>
  <c r="Z52" i="1" s="1"/>
  <c r="Z61" i="1" s="1"/>
  <c r="V52" i="1"/>
  <c r="O7" i="1"/>
  <c r="O16" i="1" s="1"/>
  <c r="O51" i="1" s="1"/>
  <c r="R52" i="1" s="1"/>
  <c r="C58" i="1" l="1"/>
  <c r="C59" i="1" l="1"/>
  <c r="D58" i="1" s="1"/>
  <c r="D56" i="1" l="1"/>
  <c r="D57" i="1"/>
  <c r="D59" i="1" l="1"/>
</calcChain>
</file>

<file path=xl/sharedStrings.xml><?xml version="1.0" encoding="utf-8"?>
<sst xmlns="http://schemas.openxmlformats.org/spreadsheetml/2006/main" count="212" uniqueCount="102">
  <si>
    <t>MUNICIPIO</t>
  </si>
  <si>
    <t>INSTITUCIÓN EDUCATIVA</t>
  </si>
  <si>
    <t>APORTES VALOR ACTUALIZADO POR MINISTERIO</t>
  </si>
  <si>
    <t>ALUMNOS BENEFICIADOS</t>
  </si>
  <si>
    <t>APORTES MUNICIPIO</t>
  </si>
  <si>
    <t>RENDIMIENTOS
A OCTUBRE DE 2018</t>
  </si>
  <si>
    <t>APORTES AREA METROPOLITANA VALLE DE ABURRA</t>
  </si>
  <si>
    <t>RENDIMIENTOS</t>
  </si>
  <si>
    <t>OTROSI 2 AMVA</t>
  </si>
  <si>
    <t>CONTRAPARTIDA A MEN- FFIE PARA EDIFICACION Y MEJORAMIENTO</t>
  </si>
  <si>
    <t>OBRAS PREVIAS AMVA</t>
  </si>
  <si>
    <t>OTROSI 1 AMVA</t>
  </si>
  <si>
    <t>PAGOS FALTANTES</t>
  </si>
  <si>
    <t>OBRAS DE URBANISMO
CONTRATACION DEL AREA METROPOLITANA</t>
  </si>
  <si>
    <t>MINISTERIO</t>
  </si>
  <si>
    <t>AMVA</t>
  </si>
  <si>
    <t>TOTAL MUNICIPIO</t>
  </si>
  <si>
    <t>%</t>
  </si>
  <si>
    <t>RECURSOS CON
CDP 2016</t>
  </si>
  <si>
    <t>RECURSOS CON CARTA INTENCION O CVF 2017</t>
  </si>
  <si>
    <t>TOTAL AMVA
PARA EL VALOR ESTRUCTURADO</t>
  </si>
  <si>
    <t>CONTRAPARTIDA RECURSOS CON CDP 2016</t>
  </si>
  <si>
    <t>CONTRAPARTIDA 
RECURSOS CON VIGENCIA FUTURA 2017
(Desembolsar en marzo 2017)</t>
  </si>
  <si>
    <t xml:space="preserve">DEMOLICIONES
</t>
  </si>
  <si>
    <t xml:space="preserve">OBRA
COMPLEMENTARIAS </t>
  </si>
  <si>
    <t>DISEÑOS, INTERVENTORIA  DE DISEÑOS Y OBRAS</t>
  </si>
  <si>
    <t>SUBTOTAL
OTROSÍ 1</t>
  </si>
  <si>
    <t>SUBTOTAL 1</t>
  </si>
  <si>
    <t>DEMOLICIONES</t>
  </si>
  <si>
    <t>INTERVENTORIA DEMOLICIONES</t>
  </si>
  <si>
    <t>SUBTOTAL 2</t>
  </si>
  <si>
    <r>
      <t xml:space="preserve">
CIMENTACIÓN PROFUNDA
</t>
    </r>
    <r>
      <rPr>
        <b/>
        <sz val="8"/>
        <color rgb="FF000000"/>
        <rFont val="Calibri"/>
        <family val="2"/>
        <scheme val="minor"/>
      </rPr>
      <t>(RENDIMIENTOS)</t>
    </r>
  </si>
  <si>
    <t>SUBTOTAL 3</t>
  </si>
  <si>
    <t>URBANISMO</t>
  </si>
  <si>
    <t>OBRAS COMPLEMENTARIAS
ELECTRICAS E HIDROSANITARIAS
AMVA</t>
  </si>
  <si>
    <t>OBRAS COMPLEMENTARIAS
URBANISMO
AMVA</t>
  </si>
  <si>
    <t>REDES EXTERNAS
ACUEDUCTO Y ALCANTARILLADO</t>
  </si>
  <si>
    <t>MUNICIPIO
(POR ACTUALIZAR)</t>
  </si>
  <si>
    <t>DEMOLICIONES + OBRA
COMPLEMENTARIAS +
CIMENTACIÓN PROFUNDA + EXTERNAS</t>
  </si>
  <si>
    <t>SUBTOTAL
OTROSÍ 2</t>
  </si>
  <si>
    <t>BARBOSA</t>
  </si>
  <si>
    <t>IE MANUEL JOSE CAICEDO</t>
  </si>
  <si>
    <t>IE EL HATILLO</t>
  </si>
  <si>
    <t>BELLO</t>
  </si>
  <si>
    <t>IE CARLOS PEREZ (PRECIOSA SANGRE)</t>
  </si>
  <si>
    <t>IE FEDERICO SIERRA</t>
  </si>
  <si>
    <t>IE FERNANDO VELEZ</t>
  </si>
  <si>
    <t>IE LA UNION</t>
  </si>
  <si>
    <t>IE LA NAVARRA</t>
  </si>
  <si>
    <t>IE ALBERT LEBRUM MUNERA</t>
  </si>
  <si>
    <t xml:space="preserve">IE LICEO ANTIOQUEÑO </t>
  </si>
  <si>
    <t>IE ATANASIO GIRARDOT</t>
  </si>
  <si>
    <t>IE TOMAS CADAVID</t>
  </si>
  <si>
    <t>CALDAS</t>
  </si>
  <si>
    <t>IER SAN FRANCISCO DE ASIS</t>
  </si>
  <si>
    <t>COPACABANA</t>
  </si>
  <si>
    <t>IE JOSE MIGUEL RESTREPO Y PUERTA</t>
  </si>
  <si>
    <t>ENVIGADO</t>
  </si>
  <si>
    <t>IE ALTO LAS FLORES</t>
  </si>
  <si>
    <t>IE NORMAL SUPERIOR DE ENVIGADO</t>
  </si>
  <si>
    <t>IE JOSE MIGUEL DE LA CALLE</t>
  </si>
  <si>
    <t>GIRADOTA</t>
  </si>
  <si>
    <t>IE COLOMBIA</t>
  </si>
  <si>
    <t>ITAGUI</t>
  </si>
  <si>
    <t xml:space="preserve">ENRIQUE VELEZ ESCOBAR </t>
  </si>
  <si>
    <t xml:space="preserve">LOS GOMEZ </t>
  </si>
  <si>
    <t xml:space="preserve">SAN JOSE </t>
  </si>
  <si>
    <t xml:space="preserve">AVELINO SALDARRIAGA </t>
  </si>
  <si>
    <t>I.E. CONCEJO MUNICIPAL DE ITAGUI</t>
  </si>
  <si>
    <t xml:space="preserve">I.E. FELIPE DE RESTREPO </t>
  </si>
  <si>
    <t>LA ESTRELLA</t>
  </si>
  <si>
    <t>IE CONCEJO MUNICIPAL</t>
  </si>
  <si>
    <t>MEDELLIN</t>
  </si>
  <si>
    <t>IE BARRIO OLAYA HERRERA</t>
  </si>
  <si>
    <t xml:space="preserve">IE. PEDRONEL GOMEZ </t>
  </si>
  <si>
    <t>IE. CAPILLA DEL ROSARIO</t>
  </si>
  <si>
    <t xml:space="preserve">BENJAMIN HERRERA </t>
  </si>
  <si>
    <t>SABANETA</t>
  </si>
  <si>
    <t>IE MARIA AUXILIADORA</t>
  </si>
  <si>
    <t>IE COLEGIO JOSÉ FELIX DE RESTREPO</t>
  </si>
  <si>
    <t>INTERVENTORIA DEMOL.</t>
  </si>
  <si>
    <t>TOTALES</t>
  </si>
  <si>
    <t>TOTAL APORTES</t>
  </si>
  <si>
    <t>MUNICIPIOS</t>
  </si>
  <si>
    <t>TOTAL PROYECTO</t>
  </si>
  <si>
    <t>SUSPENDIDO</t>
  </si>
  <si>
    <t xml:space="preserve">SUSPENDIDA </t>
  </si>
  <si>
    <t>SIN INICIAR</t>
  </si>
  <si>
    <t>I.E.  CIUDAD ITAGüI SEDE MARIA BERNAL</t>
  </si>
  <si>
    <t>I. E.CIUDAD ITAGÜI SEDE TABLAZO</t>
  </si>
  <si>
    <t>I.E.  CIUDAD ITAGUI SEDE PRINCIPAL</t>
  </si>
  <si>
    <t>IE. SAN ANTONIO DE PRADO SEDE PRINCIPAL</t>
  </si>
  <si>
    <t>IE SAN ANTONIO DE PRADO SEDE MANUEL MARIA MALLARINO</t>
  </si>
  <si>
    <t>% DE AVANCE</t>
  </si>
  <si>
    <t>ESTADO DE OBRA ACTUAL</t>
  </si>
  <si>
    <t>FECHA ENTREGA</t>
  </si>
  <si>
    <t>PLAN FIEE PARA REACTIVAR OBRAS</t>
  </si>
  <si>
    <t>29 DE NOVIEMBRE 2019</t>
  </si>
  <si>
    <t>POR DEFINIR</t>
  </si>
  <si>
    <t>INCOMPLETO</t>
  </si>
  <si>
    <t>LIQUIDAR</t>
  </si>
  <si>
    <t>FECHA REINICIO OBRA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</si>
</sst>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-[$$-240A]* #,##0.00_-;\-[$$-240A]* #,##0.00_-;_-[$$-240A]* &quot;-&quot;??_-;_-@_-"/>
    <numFmt numFmtId="166" formatCode="_-* #,##0.00\ _€_-;\-* #,##0.00\ _€_-;_-* &quot;-&quot;??\ _€_-;_-@_-"/>
    <numFmt numFmtId="167" formatCode="_-* #,##0\ _€_-;\-* #,##0\ _€_-;_-* &quot;-&quot;??\ _€_-;_-@_-"/>
    <numFmt numFmtId="168" formatCode="&quot;$&quot;#,##0.00"/>
    <numFmt numFmtId="169" formatCode="_(&quot;$&quot;\ * #,##0_);_(&quot;$&quot;\ * \(#,##0\);_(&quot;$&quot;\ 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2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3" borderId="2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165" fontId="5" fillId="5" borderId="1" xfId="2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7" borderId="28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5" fillId="8" borderId="28" xfId="0" applyFont="1" applyFill="1" applyBorder="1" applyAlignment="1">
      <alignment horizontal="center" vertical="center" wrapText="1"/>
    </xf>
    <xf numFmtId="0" fontId="5" fillId="8" borderId="29" xfId="0" applyFont="1" applyFill="1" applyBorder="1" applyAlignment="1">
      <alignment horizontal="center" vertical="center" wrapText="1"/>
    </xf>
    <xf numFmtId="0" fontId="7" fillId="6" borderId="28" xfId="0" applyFont="1" applyFill="1" applyBorder="1" applyAlignment="1">
      <alignment horizontal="center" vertical="center"/>
    </xf>
    <xf numFmtId="0" fontId="7" fillId="6" borderId="28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/>
    </xf>
    <xf numFmtId="0" fontId="11" fillId="9" borderId="6" xfId="0" applyFont="1" applyFill="1" applyBorder="1" applyAlignment="1">
      <alignment horizontal="justify" vertical="center"/>
    </xf>
    <xf numFmtId="165" fontId="11" fillId="9" borderId="6" xfId="0" applyNumberFormat="1" applyFont="1" applyFill="1" applyBorder="1" applyAlignment="1">
      <alignment horizontal="justify" vertical="center" wrapText="1"/>
    </xf>
    <xf numFmtId="165" fontId="12" fillId="9" borderId="6" xfId="1" applyNumberFormat="1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164" fontId="11" fillId="0" borderId="6" xfId="2" applyFont="1" applyFill="1" applyBorder="1" applyAlignment="1">
      <alignment vertical="center"/>
    </xf>
    <xf numFmtId="9" fontId="3" fillId="0" borderId="6" xfId="3" applyFont="1" applyFill="1" applyBorder="1" applyAlignment="1">
      <alignment horizontal="center" vertical="center"/>
    </xf>
    <xf numFmtId="164" fontId="11" fillId="0" borderId="6" xfId="2" applyFont="1" applyFill="1" applyBorder="1" applyAlignment="1">
      <alignment horizontal="center" vertical="center"/>
    </xf>
    <xf numFmtId="9" fontId="3" fillId="0" borderId="6" xfId="0" applyNumberFormat="1" applyFont="1" applyFill="1" applyBorder="1" applyAlignment="1">
      <alignment horizontal="center" vertical="center"/>
    </xf>
    <xf numFmtId="164" fontId="13" fillId="0" borderId="6" xfId="2" applyFont="1" applyBorder="1" applyAlignment="1">
      <alignment horizontal="center" vertical="center"/>
    </xf>
    <xf numFmtId="165" fontId="13" fillId="0" borderId="6" xfId="0" applyNumberFormat="1" applyFont="1" applyBorder="1" applyAlignment="1">
      <alignment horizontal="right" vertical="center"/>
    </xf>
    <xf numFmtId="44" fontId="13" fillId="0" borderId="6" xfId="0" applyNumberFormat="1" applyFont="1" applyBorder="1" applyAlignment="1">
      <alignment horizontal="right" vertical="center"/>
    </xf>
    <xf numFmtId="164" fontId="13" fillId="0" borderId="6" xfId="2" applyFont="1" applyBorder="1" applyAlignment="1">
      <alignment horizontal="right" vertical="center"/>
    </xf>
    <xf numFmtId="164" fontId="13" fillId="0" borderId="7" xfId="2" applyFont="1" applyBorder="1" applyAlignment="1">
      <alignment horizontal="right" vertical="center"/>
    </xf>
    <xf numFmtId="165" fontId="13" fillId="0" borderId="32" xfId="0" applyNumberFormat="1" applyFont="1" applyBorder="1" applyAlignment="1">
      <alignment horizontal="right" vertical="center"/>
    </xf>
    <xf numFmtId="0" fontId="3" fillId="0" borderId="17" xfId="0" applyFont="1" applyFill="1" applyBorder="1" applyAlignment="1">
      <alignment vertical="center"/>
    </xf>
    <xf numFmtId="0" fontId="11" fillId="9" borderId="18" xfId="0" applyFont="1" applyFill="1" applyBorder="1" applyAlignment="1">
      <alignment horizontal="justify" vertical="center"/>
    </xf>
    <xf numFmtId="165" fontId="11" fillId="9" borderId="18" xfId="0" applyNumberFormat="1" applyFont="1" applyFill="1" applyBorder="1" applyAlignment="1">
      <alignment horizontal="justify" vertical="center" wrapText="1"/>
    </xf>
    <xf numFmtId="165" fontId="12" fillId="9" borderId="18" xfId="1" applyNumberFormat="1" applyFont="1" applyFill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164" fontId="11" fillId="0" borderId="18" xfId="2" applyFont="1" applyFill="1" applyBorder="1" applyAlignment="1">
      <alignment vertical="center"/>
    </xf>
    <xf numFmtId="9" fontId="3" fillId="0" borderId="18" xfId="3" applyFont="1" applyFill="1" applyBorder="1" applyAlignment="1">
      <alignment horizontal="center" vertical="center"/>
    </xf>
    <xf numFmtId="164" fontId="11" fillId="0" borderId="18" xfId="2" applyFont="1" applyFill="1" applyBorder="1" applyAlignment="1">
      <alignment horizontal="center" vertical="center"/>
    </xf>
    <xf numFmtId="9" fontId="3" fillId="0" borderId="18" xfId="0" applyNumberFormat="1" applyFont="1" applyFill="1" applyBorder="1" applyAlignment="1">
      <alignment horizontal="center" vertical="center"/>
    </xf>
    <xf numFmtId="164" fontId="13" fillId="0" borderId="18" xfId="2" applyFont="1" applyBorder="1" applyAlignment="1">
      <alignment horizontal="center" vertical="center"/>
    </xf>
    <xf numFmtId="165" fontId="13" fillId="0" borderId="18" xfId="0" applyNumberFormat="1" applyFont="1" applyBorder="1" applyAlignment="1">
      <alignment horizontal="right" vertical="center"/>
    </xf>
    <xf numFmtId="44" fontId="13" fillId="0" borderId="18" xfId="0" applyNumberFormat="1" applyFont="1" applyBorder="1" applyAlignment="1">
      <alignment horizontal="right" vertical="center"/>
    </xf>
    <xf numFmtId="164" fontId="13" fillId="0" borderId="18" xfId="2" applyFont="1" applyBorder="1" applyAlignment="1">
      <alignment horizontal="right" vertical="center"/>
    </xf>
    <xf numFmtId="164" fontId="13" fillId="0" borderId="19" xfId="2" applyFont="1" applyBorder="1" applyAlignment="1">
      <alignment horizontal="right" vertical="center"/>
    </xf>
    <xf numFmtId="0" fontId="3" fillId="10" borderId="35" xfId="0" applyFont="1" applyFill="1" applyBorder="1" applyAlignment="1">
      <alignment vertical="center"/>
    </xf>
    <xf numFmtId="0" fontId="11" fillId="10" borderId="36" xfId="0" applyFont="1" applyFill="1" applyBorder="1" applyAlignment="1">
      <alignment horizontal="justify" vertical="center"/>
    </xf>
    <xf numFmtId="165" fontId="4" fillId="10" borderId="36" xfId="0" applyNumberFormat="1" applyFont="1" applyFill="1" applyBorder="1" applyAlignment="1">
      <alignment horizontal="justify" vertical="center" wrapText="1"/>
    </xf>
    <xf numFmtId="2" fontId="5" fillId="10" borderId="36" xfId="1" applyNumberFormat="1" applyFont="1" applyFill="1" applyBorder="1" applyAlignment="1">
      <alignment horizontal="center" vertical="center" wrapText="1"/>
    </xf>
    <xf numFmtId="2" fontId="5" fillId="10" borderId="36" xfId="2" applyNumberFormat="1" applyFont="1" applyFill="1" applyBorder="1" applyAlignment="1">
      <alignment horizontal="center" vertical="center" wrapText="1"/>
    </xf>
    <xf numFmtId="165" fontId="5" fillId="10" borderId="36" xfId="0" applyNumberFormat="1" applyFont="1" applyFill="1" applyBorder="1" applyAlignment="1">
      <alignment horizontal="justify" vertical="center" wrapText="1"/>
    </xf>
    <xf numFmtId="165" fontId="9" fillId="10" borderId="36" xfId="0" applyNumberFormat="1" applyFont="1" applyFill="1" applyBorder="1" applyAlignment="1">
      <alignment horizontal="right" vertical="center"/>
    </xf>
    <xf numFmtId="44" fontId="9" fillId="10" borderId="36" xfId="0" applyNumberFormat="1" applyFont="1" applyFill="1" applyBorder="1" applyAlignment="1">
      <alignment horizontal="right" vertical="center"/>
    </xf>
    <xf numFmtId="164" fontId="9" fillId="10" borderId="37" xfId="2" applyFont="1" applyFill="1" applyBorder="1" applyAlignment="1">
      <alignment horizontal="right" vertical="center"/>
    </xf>
    <xf numFmtId="165" fontId="3" fillId="10" borderId="36" xfId="0" applyNumberFormat="1" applyFont="1" applyFill="1" applyBorder="1" applyAlignment="1">
      <alignment horizontal="center" vertical="center"/>
    </xf>
    <xf numFmtId="165" fontId="3" fillId="10" borderId="37" xfId="0" applyNumberFormat="1" applyFont="1" applyFill="1" applyBorder="1" applyAlignment="1">
      <alignment horizontal="center" vertical="center"/>
    </xf>
    <xf numFmtId="165" fontId="9" fillId="10" borderId="18" xfId="0" applyNumberFormat="1" applyFont="1" applyFill="1" applyBorder="1" applyAlignment="1">
      <alignment horizontal="right" vertical="center"/>
    </xf>
    <xf numFmtId="0" fontId="11" fillId="0" borderId="6" xfId="0" applyFont="1" applyFill="1" applyBorder="1" applyAlignment="1">
      <alignment horizontal="justify" vertical="center"/>
    </xf>
    <xf numFmtId="164" fontId="13" fillId="0" borderId="6" xfId="2" applyFont="1" applyBorder="1" applyAlignment="1">
      <alignment horizontal="justify" vertical="center"/>
    </xf>
    <xf numFmtId="165" fontId="13" fillId="0" borderId="30" xfId="2" applyNumberFormat="1" applyFont="1" applyBorder="1" applyAlignment="1">
      <alignment horizontal="right" vertical="center"/>
    </xf>
    <xf numFmtId="165" fontId="13" fillId="0" borderId="6" xfId="2" applyNumberFormat="1" applyFont="1" applyBorder="1" applyAlignment="1">
      <alignment horizontal="right" vertical="center"/>
    </xf>
    <xf numFmtId="165" fontId="13" fillId="0" borderId="7" xfId="2" applyNumberFormat="1" applyFont="1" applyBorder="1" applyAlignment="1">
      <alignment horizontal="right" vertical="center"/>
    </xf>
    <xf numFmtId="165" fontId="13" fillId="0" borderId="28" xfId="0" applyNumberFormat="1" applyFont="1" applyBorder="1" applyAlignment="1">
      <alignment horizontal="right" vertical="center"/>
    </xf>
    <xf numFmtId="0" fontId="3" fillId="0" borderId="38" xfId="0" applyFont="1" applyFill="1" applyBorder="1" applyAlignment="1">
      <alignment vertical="center"/>
    </xf>
    <xf numFmtId="0" fontId="11" fillId="0" borderId="3" xfId="0" applyFont="1" applyFill="1" applyBorder="1" applyAlignment="1">
      <alignment horizontal="justify" vertical="center"/>
    </xf>
    <xf numFmtId="165" fontId="11" fillId="9" borderId="3" xfId="0" applyNumberFormat="1" applyFont="1" applyFill="1" applyBorder="1" applyAlignment="1">
      <alignment horizontal="justify" vertical="center" wrapText="1"/>
    </xf>
    <xf numFmtId="165" fontId="12" fillId="9" borderId="3" xfId="1" applyNumberFormat="1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164" fontId="11" fillId="0" borderId="3" xfId="2" applyFont="1" applyFill="1" applyBorder="1" applyAlignment="1">
      <alignment vertical="center"/>
    </xf>
    <xf numFmtId="9" fontId="3" fillId="0" borderId="3" xfId="3" applyFont="1" applyFill="1" applyBorder="1" applyAlignment="1">
      <alignment horizontal="center" vertical="center"/>
    </xf>
    <xf numFmtId="164" fontId="11" fillId="0" borderId="3" xfId="2" applyFont="1" applyFill="1" applyBorder="1" applyAlignment="1">
      <alignment horizontal="center" vertical="center"/>
    </xf>
    <xf numFmtId="9" fontId="3" fillId="0" borderId="3" xfId="0" applyNumberFormat="1" applyFont="1" applyFill="1" applyBorder="1" applyAlignment="1">
      <alignment horizontal="center" vertical="center"/>
    </xf>
    <xf numFmtId="164" fontId="13" fillId="0" borderId="3" xfId="2" applyFont="1" applyBorder="1" applyAlignment="1">
      <alignment horizontal="justify" vertical="center"/>
    </xf>
    <xf numFmtId="165" fontId="13" fillId="0" borderId="3" xfId="0" applyNumberFormat="1" applyFont="1" applyBorder="1" applyAlignment="1">
      <alignment horizontal="right" vertical="center"/>
    </xf>
    <xf numFmtId="165" fontId="13" fillId="0" borderId="3" xfId="2" applyNumberFormat="1" applyFont="1" applyBorder="1" applyAlignment="1">
      <alignment horizontal="right" vertical="center"/>
    </xf>
    <xf numFmtId="44" fontId="13" fillId="11" borderId="3" xfId="0" applyNumberFormat="1" applyFont="1" applyFill="1" applyBorder="1" applyAlignment="1">
      <alignment horizontal="right" vertical="center"/>
    </xf>
    <xf numFmtId="165" fontId="13" fillId="0" borderId="39" xfId="0" applyNumberFormat="1" applyFont="1" applyBorder="1" applyAlignment="1">
      <alignment horizontal="right" vertical="center"/>
    </xf>
    <xf numFmtId="44" fontId="13" fillId="0" borderId="3" xfId="0" applyNumberFormat="1" applyFont="1" applyBorder="1" applyAlignment="1">
      <alignment horizontal="right" vertical="center"/>
    </xf>
    <xf numFmtId="164" fontId="13" fillId="0" borderId="3" xfId="2" applyFont="1" applyBorder="1" applyAlignment="1">
      <alignment horizontal="right" vertical="center"/>
    </xf>
    <xf numFmtId="165" fontId="13" fillId="0" borderId="39" xfId="2" applyNumberFormat="1" applyFont="1" applyBorder="1" applyAlignment="1">
      <alignment horizontal="right" vertical="center"/>
    </xf>
    <xf numFmtId="164" fontId="13" fillId="0" borderId="3" xfId="2" applyFont="1" applyFill="1" applyBorder="1" applyAlignment="1">
      <alignment horizontal="justify" vertical="center"/>
    </xf>
    <xf numFmtId="165" fontId="13" fillId="0" borderId="3" xfId="0" applyNumberFormat="1" applyFont="1" applyFill="1" applyBorder="1" applyAlignment="1">
      <alignment horizontal="right" vertical="center"/>
    </xf>
    <xf numFmtId="164" fontId="13" fillId="0" borderId="3" xfId="2" applyFont="1" applyFill="1" applyBorder="1" applyAlignment="1">
      <alignment horizontal="right" vertical="center"/>
    </xf>
    <xf numFmtId="165" fontId="13" fillId="0" borderId="39" xfId="2" applyNumberFormat="1" applyFont="1" applyFill="1" applyBorder="1" applyAlignment="1">
      <alignment horizontal="right" vertical="center"/>
    </xf>
    <xf numFmtId="165" fontId="13" fillId="0" borderId="32" xfId="2" applyNumberFormat="1" applyFont="1" applyBorder="1" applyAlignment="1">
      <alignment horizontal="right" vertical="center"/>
    </xf>
    <xf numFmtId="165" fontId="13" fillId="0" borderId="3" xfId="2" applyNumberFormat="1" applyFont="1" applyFill="1" applyBorder="1" applyAlignment="1">
      <alignment horizontal="right" vertical="center"/>
    </xf>
    <xf numFmtId="165" fontId="13" fillId="0" borderId="32" xfId="2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13" fillId="0" borderId="38" xfId="0" applyFont="1" applyFill="1" applyBorder="1" applyAlignment="1">
      <alignment vertical="center"/>
    </xf>
    <xf numFmtId="0" fontId="13" fillId="0" borderId="17" xfId="0" applyFont="1" applyFill="1" applyBorder="1" applyAlignment="1">
      <alignment vertical="center"/>
    </xf>
    <xf numFmtId="0" fontId="11" fillId="0" borderId="18" xfId="0" applyFont="1" applyFill="1" applyBorder="1" applyAlignment="1">
      <alignment horizontal="justify" vertical="center"/>
    </xf>
    <xf numFmtId="164" fontId="13" fillId="0" borderId="18" xfId="2" applyFont="1" applyBorder="1" applyAlignment="1">
      <alignment horizontal="justify" vertical="center"/>
    </xf>
    <xf numFmtId="165" fontId="13" fillId="0" borderId="18" xfId="2" applyNumberFormat="1" applyFont="1" applyFill="1" applyBorder="1" applyAlignment="1">
      <alignment horizontal="right" vertical="center"/>
    </xf>
    <xf numFmtId="44" fontId="13" fillId="11" borderId="18" xfId="0" applyNumberFormat="1" applyFont="1" applyFill="1" applyBorder="1" applyAlignment="1">
      <alignment horizontal="right" vertical="center"/>
    </xf>
    <xf numFmtId="165" fontId="13" fillId="0" borderId="19" xfId="0" applyNumberFormat="1" applyFont="1" applyBorder="1" applyAlignment="1">
      <alignment horizontal="right" vertical="center"/>
    </xf>
    <xf numFmtId="165" fontId="13" fillId="0" borderId="33" xfId="0" applyNumberFormat="1" applyFont="1" applyBorder="1" applyAlignment="1">
      <alignment horizontal="right" vertical="center"/>
    </xf>
    <xf numFmtId="0" fontId="13" fillId="10" borderId="40" xfId="0" applyFont="1" applyFill="1" applyBorder="1" applyAlignment="1">
      <alignment vertical="center"/>
    </xf>
    <xf numFmtId="0" fontId="11" fillId="10" borderId="33" xfId="0" applyFont="1" applyFill="1" applyBorder="1" applyAlignment="1">
      <alignment horizontal="justify" vertical="center"/>
    </xf>
    <xf numFmtId="165" fontId="14" fillId="10" borderId="33" xfId="0" applyNumberFormat="1" applyFont="1" applyFill="1" applyBorder="1" applyAlignment="1">
      <alignment horizontal="right" vertical="center"/>
    </xf>
    <xf numFmtId="2" fontId="9" fillId="10" borderId="33" xfId="0" applyNumberFormat="1" applyFont="1" applyFill="1" applyBorder="1" applyAlignment="1">
      <alignment horizontal="center" vertical="center"/>
    </xf>
    <xf numFmtId="165" fontId="9" fillId="10" borderId="33" xfId="0" applyNumberFormat="1" applyFont="1" applyFill="1" applyBorder="1" applyAlignment="1">
      <alignment horizontal="right" vertical="center"/>
    </xf>
    <xf numFmtId="165" fontId="9" fillId="10" borderId="33" xfId="2" applyNumberFormat="1" applyFont="1" applyFill="1" applyBorder="1" applyAlignment="1">
      <alignment horizontal="right" vertical="center"/>
    </xf>
    <xf numFmtId="44" fontId="9" fillId="10" borderId="33" xfId="0" applyNumberFormat="1" applyFont="1" applyFill="1" applyBorder="1" applyAlignment="1">
      <alignment horizontal="right" vertical="center"/>
    </xf>
    <xf numFmtId="165" fontId="9" fillId="10" borderId="34" xfId="0" applyNumberFormat="1" applyFont="1" applyFill="1" applyBorder="1" applyAlignment="1">
      <alignment horizontal="right" vertical="center"/>
    </xf>
    <xf numFmtId="165" fontId="3" fillId="10" borderId="33" xfId="0" applyNumberFormat="1" applyFont="1" applyFill="1" applyBorder="1" applyAlignment="1">
      <alignment horizontal="center" vertical="center"/>
    </xf>
    <xf numFmtId="165" fontId="3" fillId="10" borderId="34" xfId="0" applyNumberFormat="1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vertical="center"/>
    </xf>
    <xf numFmtId="0" fontId="11" fillId="9" borderId="42" xfId="0" applyFont="1" applyFill="1" applyBorder="1" applyAlignment="1">
      <alignment horizontal="justify" vertical="center"/>
    </xf>
    <xf numFmtId="165" fontId="11" fillId="9" borderId="42" xfId="0" applyNumberFormat="1" applyFont="1" applyFill="1" applyBorder="1" applyAlignment="1">
      <alignment horizontal="justify" vertical="center" wrapText="1"/>
    </xf>
    <xf numFmtId="165" fontId="12" fillId="9" borderId="42" xfId="1" applyNumberFormat="1" applyFont="1" applyFill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164" fontId="11" fillId="0" borderId="42" xfId="2" applyFont="1" applyFill="1" applyBorder="1" applyAlignment="1">
      <alignment vertical="center"/>
    </xf>
    <xf numFmtId="9" fontId="3" fillId="0" borderId="42" xfId="3" applyFont="1" applyFill="1" applyBorder="1" applyAlignment="1">
      <alignment horizontal="center" vertical="center"/>
    </xf>
    <xf numFmtId="165" fontId="3" fillId="0" borderId="42" xfId="2" applyNumberFormat="1" applyFont="1" applyBorder="1" applyAlignment="1">
      <alignment vertical="center"/>
    </xf>
    <xf numFmtId="167" fontId="15" fillId="0" borderId="42" xfId="1" applyNumberFormat="1" applyFont="1" applyFill="1" applyBorder="1" applyAlignment="1">
      <alignment vertical="center"/>
    </xf>
    <xf numFmtId="164" fontId="13" fillId="0" borderId="42" xfId="2" applyFont="1" applyFill="1" applyBorder="1" applyAlignment="1">
      <alignment vertical="center"/>
    </xf>
    <xf numFmtId="9" fontId="3" fillId="0" borderId="42" xfId="0" applyNumberFormat="1" applyFont="1" applyFill="1" applyBorder="1" applyAlignment="1">
      <alignment horizontal="center" vertical="center"/>
    </xf>
    <xf numFmtId="164" fontId="3" fillId="0" borderId="42" xfId="2" applyFont="1" applyFill="1" applyBorder="1" applyAlignment="1">
      <alignment horizontal="center" vertical="center"/>
    </xf>
    <xf numFmtId="164" fontId="13" fillId="0" borderId="42" xfId="2" applyFont="1" applyFill="1" applyBorder="1" applyAlignment="1">
      <alignment horizontal="justify" vertical="center"/>
    </xf>
    <xf numFmtId="165" fontId="13" fillId="0" borderId="42" xfId="0" applyNumberFormat="1" applyFont="1" applyBorder="1" applyAlignment="1">
      <alignment horizontal="right" vertical="center"/>
    </xf>
    <xf numFmtId="165" fontId="13" fillId="0" borderId="42" xfId="2" applyNumberFormat="1" applyFont="1" applyFill="1" applyBorder="1" applyAlignment="1">
      <alignment horizontal="right" vertical="center"/>
    </xf>
    <xf numFmtId="164" fontId="13" fillId="0" borderId="42" xfId="2" applyFont="1" applyFill="1" applyBorder="1" applyAlignment="1">
      <alignment horizontal="right" vertical="center"/>
    </xf>
    <xf numFmtId="44" fontId="13" fillId="0" borderId="42" xfId="0" applyNumberFormat="1" applyFont="1" applyBorder="1" applyAlignment="1">
      <alignment horizontal="right" vertical="center"/>
    </xf>
    <xf numFmtId="164" fontId="13" fillId="11" borderId="43" xfId="2" applyFont="1" applyFill="1" applyBorder="1" applyAlignment="1">
      <alignment horizontal="right" vertical="center"/>
    </xf>
    <xf numFmtId="165" fontId="3" fillId="0" borderId="42" xfId="0" applyNumberFormat="1" applyFont="1" applyBorder="1" applyAlignment="1">
      <alignment vertical="center"/>
    </xf>
    <xf numFmtId="165" fontId="3" fillId="0" borderId="43" xfId="0" applyNumberFormat="1" applyFont="1" applyBorder="1" applyAlignment="1">
      <alignment vertical="center"/>
    </xf>
    <xf numFmtId="0" fontId="3" fillId="10" borderId="41" xfId="0" applyFont="1" applyFill="1" applyBorder="1" applyAlignment="1">
      <alignment vertical="center"/>
    </xf>
    <xf numFmtId="0" fontId="11" fillId="10" borderId="42" xfId="0" applyFont="1" applyFill="1" applyBorder="1" applyAlignment="1">
      <alignment horizontal="justify" vertical="center"/>
    </xf>
    <xf numFmtId="165" fontId="11" fillId="10" borderId="42" xfId="0" applyNumberFormat="1" applyFont="1" applyFill="1" applyBorder="1" applyAlignment="1">
      <alignment horizontal="justify" vertical="center" wrapText="1"/>
    </xf>
    <xf numFmtId="165" fontId="4" fillId="10" borderId="42" xfId="0" applyNumberFormat="1" applyFont="1" applyFill="1" applyBorder="1" applyAlignment="1">
      <alignment horizontal="justify" vertical="center" wrapText="1"/>
    </xf>
    <xf numFmtId="2" fontId="5" fillId="10" borderId="42" xfId="0" applyNumberFormat="1" applyFont="1" applyFill="1" applyBorder="1" applyAlignment="1">
      <alignment horizontal="center" vertical="center" wrapText="1"/>
    </xf>
    <xf numFmtId="165" fontId="5" fillId="10" borderId="42" xfId="0" applyNumberFormat="1" applyFont="1" applyFill="1" applyBorder="1" applyAlignment="1">
      <alignment horizontal="justify" vertical="center" wrapText="1"/>
    </xf>
    <xf numFmtId="165" fontId="9" fillId="10" borderId="42" xfId="2" applyNumberFormat="1" applyFont="1" applyFill="1" applyBorder="1" applyAlignment="1">
      <alignment horizontal="right" vertical="center"/>
    </xf>
    <xf numFmtId="164" fontId="9" fillId="10" borderId="42" xfId="2" applyFont="1" applyFill="1" applyBorder="1" applyAlignment="1">
      <alignment horizontal="right" vertical="center"/>
    </xf>
    <xf numFmtId="44" fontId="9" fillId="10" borderId="42" xfId="0" applyNumberFormat="1" applyFont="1" applyFill="1" applyBorder="1" applyAlignment="1">
      <alignment horizontal="right" vertical="center"/>
    </xf>
    <xf numFmtId="164" fontId="9" fillId="10" borderId="43" xfId="2" applyFont="1" applyFill="1" applyBorder="1" applyAlignment="1">
      <alignment horizontal="right" vertical="center"/>
    </xf>
    <xf numFmtId="165" fontId="3" fillId="10" borderId="42" xfId="0" applyNumberFormat="1" applyFont="1" applyFill="1" applyBorder="1" applyAlignment="1">
      <alignment vertical="center"/>
    </xf>
    <xf numFmtId="165" fontId="3" fillId="10" borderId="43" xfId="0" applyNumberFormat="1" applyFont="1" applyFill="1" applyBorder="1" applyAlignment="1">
      <alignment vertical="center"/>
    </xf>
    <xf numFmtId="0" fontId="3" fillId="0" borderId="44" xfId="0" applyFont="1" applyFill="1" applyBorder="1" applyAlignment="1">
      <alignment vertical="center"/>
    </xf>
    <xf numFmtId="0" fontId="11" fillId="9" borderId="30" xfId="0" applyFont="1" applyFill="1" applyBorder="1" applyAlignment="1">
      <alignment horizontal="justify" vertical="center"/>
    </xf>
    <xf numFmtId="165" fontId="12" fillId="9" borderId="30" xfId="1" applyNumberFormat="1" applyFont="1" applyFill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164" fontId="11" fillId="0" borderId="30" xfId="2" applyFont="1" applyFill="1" applyBorder="1" applyAlignment="1">
      <alignment vertical="center"/>
    </xf>
    <xf numFmtId="9" fontId="3" fillId="0" borderId="30" xfId="3" applyFont="1" applyFill="1" applyBorder="1" applyAlignment="1">
      <alignment horizontal="center" vertical="center"/>
    </xf>
    <xf numFmtId="165" fontId="3" fillId="0" borderId="30" xfId="2" applyNumberFormat="1" applyFont="1" applyBorder="1" applyAlignment="1">
      <alignment vertical="center"/>
    </xf>
    <xf numFmtId="167" fontId="11" fillId="0" borderId="30" xfId="1" applyNumberFormat="1" applyFont="1" applyFill="1" applyBorder="1" applyAlignment="1">
      <alignment vertical="center"/>
    </xf>
    <xf numFmtId="9" fontId="3" fillId="0" borderId="30" xfId="0" applyNumberFormat="1" applyFont="1" applyFill="1" applyBorder="1" applyAlignment="1">
      <alignment horizontal="center" vertical="center"/>
    </xf>
    <xf numFmtId="164" fontId="3" fillId="0" borderId="30" xfId="2" applyFont="1" applyFill="1" applyBorder="1" applyAlignment="1">
      <alignment horizontal="center" vertical="center"/>
    </xf>
    <xf numFmtId="164" fontId="13" fillId="0" borderId="30" xfId="2" applyFont="1" applyFill="1" applyBorder="1" applyAlignment="1">
      <alignment horizontal="justify" vertical="center"/>
    </xf>
    <xf numFmtId="165" fontId="11" fillId="0" borderId="30" xfId="0" applyNumberFormat="1" applyFont="1" applyFill="1" applyBorder="1" applyAlignment="1">
      <alignment horizontal="justify" vertical="center" wrapText="1"/>
    </xf>
    <xf numFmtId="165" fontId="13" fillId="0" borderId="30" xfId="0" applyNumberFormat="1" applyFont="1" applyFill="1" applyBorder="1" applyAlignment="1">
      <alignment horizontal="right" vertical="center"/>
    </xf>
    <xf numFmtId="165" fontId="13" fillId="0" borderId="30" xfId="2" applyNumberFormat="1" applyFont="1" applyFill="1" applyBorder="1" applyAlignment="1">
      <alignment horizontal="right" vertical="center"/>
    </xf>
    <xf numFmtId="164" fontId="13" fillId="0" borderId="30" xfId="2" applyFont="1" applyFill="1" applyBorder="1" applyAlignment="1">
      <alignment horizontal="right" vertical="center"/>
    </xf>
    <xf numFmtId="44" fontId="13" fillId="11" borderId="30" xfId="0" applyNumberFormat="1" applyFont="1" applyFill="1" applyBorder="1" applyAlignment="1">
      <alignment horizontal="right" vertical="center"/>
    </xf>
    <xf numFmtId="164" fontId="13" fillId="0" borderId="31" xfId="2" applyFont="1" applyFill="1" applyBorder="1" applyAlignment="1">
      <alignment horizontal="right" vertical="center"/>
    </xf>
    <xf numFmtId="165" fontId="3" fillId="0" borderId="30" xfId="0" applyNumberFormat="1" applyFont="1" applyBorder="1" applyAlignment="1">
      <alignment vertical="center"/>
    </xf>
    <xf numFmtId="165" fontId="3" fillId="0" borderId="31" xfId="0" applyNumberFormat="1" applyFont="1" applyBorder="1" applyAlignment="1">
      <alignment vertical="center"/>
    </xf>
    <xf numFmtId="165" fontId="13" fillId="10" borderId="42" xfId="0" applyNumberFormat="1" applyFont="1" applyFill="1" applyBorder="1" applyAlignment="1">
      <alignment horizontal="right" vertical="center"/>
    </xf>
    <xf numFmtId="0" fontId="3" fillId="0" borderId="45" xfId="0" applyFont="1" applyFill="1" applyBorder="1" applyAlignment="1">
      <alignment vertical="center"/>
    </xf>
    <xf numFmtId="0" fontId="11" fillId="9" borderId="32" xfId="0" applyFont="1" applyFill="1" applyBorder="1" applyAlignment="1">
      <alignment horizontal="justify" vertical="center"/>
    </xf>
    <xf numFmtId="165" fontId="11" fillId="9" borderId="32" xfId="0" applyNumberFormat="1" applyFont="1" applyFill="1" applyBorder="1" applyAlignment="1">
      <alignment horizontal="justify" vertical="center" wrapText="1"/>
    </xf>
    <xf numFmtId="165" fontId="12" fillId="9" borderId="32" xfId="1" applyNumberFormat="1" applyFont="1" applyFill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164" fontId="11" fillId="0" borderId="32" xfId="2" applyFont="1" applyFill="1" applyBorder="1" applyAlignment="1">
      <alignment vertical="center"/>
    </xf>
    <xf numFmtId="9" fontId="3" fillId="0" borderId="32" xfId="3" applyFont="1" applyFill="1" applyBorder="1" applyAlignment="1">
      <alignment horizontal="center" vertical="center"/>
    </xf>
    <xf numFmtId="167" fontId="11" fillId="0" borderId="32" xfId="1" applyNumberFormat="1" applyFont="1" applyFill="1" applyBorder="1" applyAlignment="1">
      <alignment horizontal="center" vertical="center"/>
    </xf>
    <xf numFmtId="9" fontId="3" fillId="0" borderId="32" xfId="0" applyNumberFormat="1" applyFont="1" applyFill="1" applyBorder="1" applyAlignment="1">
      <alignment horizontal="center" vertical="center"/>
    </xf>
    <xf numFmtId="164" fontId="13" fillId="0" borderId="32" xfId="2" applyFont="1" applyBorder="1" applyAlignment="1">
      <alignment horizontal="justify" vertical="center"/>
    </xf>
    <xf numFmtId="164" fontId="13" fillId="0" borderId="32" xfId="2" applyFont="1" applyBorder="1" applyAlignment="1">
      <alignment horizontal="right" vertical="center"/>
    </xf>
    <xf numFmtId="44" fontId="13" fillId="0" borderId="32" xfId="0" applyNumberFormat="1" applyFont="1" applyBorder="1" applyAlignment="1">
      <alignment horizontal="right" vertical="center"/>
    </xf>
    <xf numFmtId="43" fontId="13" fillId="0" borderId="32" xfId="0" applyNumberFormat="1" applyFont="1" applyBorder="1" applyAlignment="1">
      <alignment horizontal="right" vertical="center"/>
    </xf>
    <xf numFmtId="165" fontId="13" fillId="0" borderId="46" xfId="0" applyNumberFormat="1" applyFont="1" applyBorder="1" applyAlignment="1">
      <alignment horizontal="right" vertical="center"/>
    </xf>
    <xf numFmtId="165" fontId="13" fillId="0" borderId="36" xfId="0" applyNumberFormat="1" applyFont="1" applyBorder="1" applyAlignment="1">
      <alignment horizontal="right" vertical="center"/>
    </xf>
    <xf numFmtId="0" fontId="11" fillId="9" borderId="3" xfId="0" applyFont="1" applyFill="1" applyBorder="1" applyAlignment="1">
      <alignment horizontal="justify" vertical="center"/>
    </xf>
    <xf numFmtId="167" fontId="11" fillId="0" borderId="3" xfId="1" applyNumberFormat="1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vertical="center"/>
    </xf>
    <xf numFmtId="0" fontId="13" fillId="9" borderId="28" xfId="0" applyFont="1" applyFill="1" applyBorder="1" applyAlignment="1">
      <alignment horizontal="justify" vertical="center"/>
    </xf>
    <xf numFmtId="165" fontId="11" fillId="9" borderId="28" xfId="0" applyNumberFormat="1" applyFont="1" applyFill="1" applyBorder="1" applyAlignment="1">
      <alignment horizontal="justify" vertical="center" wrapText="1"/>
    </xf>
    <xf numFmtId="165" fontId="12" fillId="9" borderId="28" xfId="1" applyNumberFormat="1" applyFont="1" applyFill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164" fontId="11" fillId="0" borderId="28" xfId="2" applyFont="1" applyFill="1" applyBorder="1" applyAlignment="1">
      <alignment vertical="center"/>
    </xf>
    <xf numFmtId="9" fontId="3" fillId="0" borderId="28" xfId="3" applyFont="1" applyFill="1" applyBorder="1" applyAlignment="1">
      <alignment horizontal="center" vertical="center"/>
    </xf>
    <xf numFmtId="167" fontId="11" fillId="0" borderId="28" xfId="1" applyNumberFormat="1" applyFont="1" applyFill="1" applyBorder="1" applyAlignment="1">
      <alignment horizontal="center" vertical="center"/>
    </xf>
    <xf numFmtId="9" fontId="3" fillId="0" borderId="28" xfId="0" applyNumberFormat="1" applyFont="1" applyFill="1" applyBorder="1" applyAlignment="1">
      <alignment horizontal="center" vertical="center"/>
    </xf>
    <xf numFmtId="164" fontId="13" fillId="0" borderId="28" xfId="2" applyFont="1" applyFill="1" applyBorder="1" applyAlignment="1">
      <alignment horizontal="justify" vertical="center"/>
    </xf>
    <xf numFmtId="165" fontId="13" fillId="0" borderId="28" xfId="2" applyNumberFormat="1" applyFont="1" applyFill="1" applyBorder="1" applyAlignment="1">
      <alignment horizontal="right" vertical="center"/>
    </xf>
    <xf numFmtId="164" fontId="13" fillId="0" borderId="28" xfId="2" applyFont="1" applyFill="1" applyBorder="1" applyAlignment="1">
      <alignment horizontal="right" vertical="center"/>
    </xf>
    <xf numFmtId="44" fontId="13" fillId="11" borderId="28" xfId="0" applyNumberFormat="1" applyFont="1" applyFill="1" applyBorder="1" applyAlignment="1">
      <alignment horizontal="right" vertical="center"/>
    </xf>
    <xf numFmtId="165" fontId="13" fillId="0" borderId="29" xfId="2" applyNumberFormat="1" applyFont="1" applyFill="1" applyBorder="1" applyAlignment="1">
      <alignment horizontal="right" vertical="center"/>
    </xf>
    <xf numFmtId="0" fontId="13" fillId="10" borderId="42" xfId="0" applyFont="1" applyFill="1" applyBorder="1" applyAlignment="1">
      <alignment horizontal="justify" vertical="center"/>
    </xf>
    <xf numFmtId="165" fontId="9" fillId="10" borderId="43" xfId="2" applyNumberFormat="1" applyFont="1" applyFill="1" applyBorder="1" applyAlignment="1">
      <alignment horizontal="right" vertical="center"/>
    </xf>
    <xf numFmtId="165" fontId="3" fillId="10" borderId="42" xfId="0" applyNumberFormat="1" applyFont="1" applyFill="1" applyBorder="1" applyAlignment="1">
      <alignment horizontal="center" vertical="center"/>
    </xf>
    <xf numFmtId="165" fontId="3" fillId="10" borderId="43" xfId="0" applyNumberFormat="1" applyFont="1" applyFill="1" applyBorder="1" applyAlignment="1">
      <alignment horizontal="center" vertical="center"/>
    </xf>
    <xf numFmtId="164" fontId="11" fillId="0" borderId="32" xfId="2" applyFont="1" applyFill="1" applyBorder="1" applyAlignment="1">
      <alignment horizontal="center" vertical="center"/>
    </xf>
    <xf numFmtId="164" fontId="13" fillId="0" borderId="46" xfId="2" applyFont="1" applyFill="1" applyBorder="1" applyAlignment="1">
      <alignment horizontal="right" vertical="center"/>
    </xf>
    <xf numFmtId="0" fontId="13" fillId="9" borderId="18" xfId="0" applyFont="1" applyFill="1" applyBorder="1" applyAlignment="1">
      <alignment horizontal="justify" vertical="center"/>
    </xf>
    <xf numFmtId="164" fontId="13" fillId="0" borderId="18" xfId="2" applyFont="1" applyFill="1" applyBorder="1" applyAlignment="1">
      <alignment horizontal="justify" vertical="center"/>
    </xf>
    <xf numFmtId="165" fontId="11" fillId="0" borderId="18" xfId="0" applyNumberFormat="1" applyFont="1" applyFill="1" applyBorder="1" applyAlignment="1">
      <alignment horizontal="justify" vertical="center" wrapText="1"/>
    </xf>
    <xf numFmtId="164" fontId="13" fillId="0" borderId="18" xfId="2" applyFont="1" applyFill="1" applyBorder="1" applyAlignment="1">
      <alignment horizontal="right" vertical="center"/>
    </xf>
    <xf numFmtId="164" fontId="13" fillId="0" borderId="19" xfId="2" applyFont="1" applyFill="1" applyBorder="1" applyAlignment="1">
      <alignment horizontal="right" vertical="center"/>
    </xf>
    <xf numFmtId="164" fontId="13" fillId="0" borderId="32" xfId="2" applyFont="1" applyFill="1" applyBorder="1" applyAlignment="1">
      <alignment horizontal="justify" vertical="center"/>
    </xf>
    <xf numFmtId="164" fontId="13" fillId="0" borderId="32" xfId="2" applyFont="1" applyFill="1" applyBorder="1" applyAlignment="1">
      <alignment horizontal="right" vertical="center"/>
    </xf>
    <xf numFmtId="164" fontId="13" fillId="0" borderId="39" xfId="2" applyFont="1" applyFill="1" applyBorder="1" applyAlignment="1">
      <alignment horizontal="right" vertical="center"/>
    </xf>
    <xf numFmtId="0" fontId="13" fillId="9" borderId="3" xfId="0" applyFont="1" applyFill="1" applyBorder="1" applyAlignment="1">
      <alignment horizontal="justify" vertical="center"/>
    </xf>
    <xf numFmtId="165" fontId="11" fillId="0" borderId="3" xfId="0" applyNumberFormat="1" applyFont="1" applyFill="1" applyBorder="1" applyAlignment="1">
      <alignment horizontal="justify" vertical="center" wrapText="1"/>
    </xf>
    <xf numFmtId="164" fontId="13" fillId="11" borderId="39" xfId="2" applyFont="1" applyFill="1" applyBorder="1" applyAlignment="1">
      <alignment horizontal="right" vertical="center"/>
    </xf>
    <xf numFmtId="0" fontId="3" fillId="10" borderId="40" xfId="0" applyFont="1" applyFill="1" applyBorder="1" applyAlignment="1">
      <alignment vertical="center"/>
    </xf>
    <xf numFmtId="0" fontId="13" fillId="10" borderId="33" xfId="0" applyFont="1" applyFill="1" applyBorder="1" applyAlignment="1">
      <alignment horizontal="justify" vertical="center"/>
    </xf>
    <xf numFmtId="165" fontId="4" fillId="10" borderId="33" xfId="0" applyNumberFormat="1" applyFont="1" applyFill="1" applyBorder="1" applyAlignment="1">
      <alignment horizontal="justify" vertical="center" wrapText="1"/>
    </xf>
    <xf numFmtId="2" fontId="5" fillId="10" borderId="33" xfId="0" applyNumberFormat="1" applyFont="1" applyFill="1" applyBorder="1" applyAlignment="1">
      <alignment horizontal="center" vertical="center" wrapText="1"/>
    </xf>
    <xf numFmtId="165" fontId="5" fillId="10" borderId="33" xfId="0" applyNumberFormat="1" applyFont="1" applyFill="1" applyBorder="1" applyAlignment="1">
      <alignment horizontal="justify" vertical="center" wrapText="1"/>
    </xf>
    <xf numFmtId="164" fontId="9" fillId="10" borderId="33" xfId="2" applyFont="1" applyFill="1" applyBorder="1" applyAlignment="1">
      <alignment horizontal="right" vertical="center"/>
    </xf>
    <xf numFmtId="164" fontId="9" fillId="10" borderId="34" xfId="2" applyFont="1" applyFill="1" applyBorder="1" applyAlignment="1">
      <alignment horizontal="right" vertical="center"/>
    </xf>
    <xf numFmtId="167" fontId="11" fillId="0" borderId="42" xfId="1" applyNumberFormat="1" applyFont="1" applyFill="1" applyBorder="1" applyAlignment="1">
      <alignment vertical="center"/>
    </xf>
    <xf numFmtId="165" fontId="11" fillId="0" borderId="42" xfId="0" applyNumberFormat="1" applyFont="1" applyFill="1" applyBorder="1" applyAlignment="1">
      <alignment horizontal="justify" vertical="center" wrapText="1"/>
    </xf>
    <xf numFmtId="165" fontId="13" fillId="0" borderId="42" xfId="0" applyNumberFormat="1" applyFont="1" applyFill="1" applyBorder="1" applyAlignment="1">
      <alignment horizontal="right" vertical="center"/>
    </xf>
    <xf numFmtId="44" fontId="13" fillId="11" borderId="42" xfId="0" applyNumberFormat="1" applyFont="1" applyFill="1" applyBorder="1" applyAlignment="1">
      <alignment horizontal="right" vertical="center"/>
    </xf>
    <xf numFmtId="164" fontId="13" fillId="0" borderId="43" xfId="2" applyFont="1" applyFill="1" applyBorder="1" applyAlignment="1">
      <alignment horizontal="right" vertical="center"/>
    </xf>
    <xf numFmtId="0" fontId="11" fillId="0" borderId="32" xfId="0" applyFont="1" applyFill="1" applyBorder="1" applyAlignment="1">
      <alignment horizontal="justify" vertical="center"/>
    </xf>
    <xf numFmtId="165" fontId="12" fillId="0" borderId="32" xfId="1" applyNumberFormat="1" applyFont="1" applyFill="1" applyBorder="1" applyAlignment="1">
      <alignment horizontal="center" vertical="center"/>
    </xf>
    <xf numFmtId="0" fontId="13" fillId="0" borderId="32" xfId="0" applyFont="1" applyFill="1" applyBorder="1" applyAlignment="1">
      <alignment horizontal="center" vertical="center"/>
    </xf>
    <xf numFmtId="165" fontId="11" fillId="0" borderId="32" xfId="0" applyNumberFormat="1" applyFont="1" applyFill="1" applyBorder="1" applyAlignment="1">
      <alignment horizontal="justify" vertical="center" wrapText="1"/>
    </xf>
    <xf numFmtId="165" fontId="13" fillId="0" borderId="32" xfId="0" applyNumberFormat="1" applyFont="1" applyFill="1" applyBorder="1" applyAlignment="1">
      <alignment horizontal="right" vertical="center"/>
    </xf>
    <xf numFmtId="44" fontId="13" fillId="11" borderId="32" xfId="0" applyNumberFormat="1" applyFont="1" applyFill="1" applyBorder="1" applyAlignment="1">
      <alignment horizontal="right" vertical="center"/>
    </xf>
    <xf numFmtId="165" fontId="13" fillId="0" borderId="46" xfId="0" applyNumberFormat="1" applyFont="1" applyFill="1" applyBorder="1" applyAlignment="1">
      <alignment horizontal="right" vertical="center"/>
    </xf>
    <xf numFmtId="165" fontId="12" fillId="0" borderId="3" xfId="1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165" fontId="13" fillId="0" borderId="39" xfId="0" applyNumberFormat="1" applyFont="1" applyFill="1" applyBorder="1" applyAlignment="1">
      <alignment horizontal="right" vertical="center"/>
    </xf>
    <xf numFmtId="165" fontId="12" fillId="0" borderId="18" xfId="1" applyNumberFormat="1" applyFont="1" applyFill="1" applyBorder="1" applyAlignment="1">
      <alignment horizontal="center" vertical="center"/>
    </xf>
    <xf numFmtId="167" fontId="11" fillId="0" borderId="18" xfId="1" applyNumberFormat="1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165" fontId="13" fillId="0" borderId="18" xfId="0" applyNumberFormat="1" applyFont="1" applyFill="1" applyBorder="1" applyAlignment="1">
      <alignment horizontal="right" vertical="center"/>
    </xf>
    <xf numFmtId="165" fontId="13" fillId="2" borderId="18" xfId="0" applyNumberFormat="1" applyFont="1" applyFill="1" applyBorder="1" applyAlignment="1">
      <alignment horizontal="right" vertical="center"/>
    </xf>
    <xf numFmtId="165" fontId="13" fillId="2" borderId="3" xfId="0" applyNumberFormat="1" applyFont="1" applyFill="1" applyBorder="1" applyAlignment="1">
      <alignment horizontal="right" vertical="center"/>
    </xf>
    <xf numFmtId="165" fontId="13" fillId="0" borderId="19" xfId="2" applyNumberFormat="1" applyFont="1" applyFill="1" applyBorder="1" applyAlignment="1">
      <alignment horizontal="right" vertical="center"/>
    </xf>
    <xf numFmtId="168" fontId="9" fillId="10" borderId="42" xfId="0" applyNumberFormat="1" applyFont="1" applyFill="1" applyBorder="1" applyAlignment="1">
      <alignment horizontal="center" vertical="center"/>
    </xf>
    <xf numFmtId="0" fontId="11" fillId="0" borderId="32" xfId="0" applyFont="1" applyBorder="1" applyAlignment="1">
      <alignment horizontal="justify" vertical="center"/>
    </xf>
    <xf numFmtId="165" fontId="13" fillId="0" borderId="32" xfId="0" applyNumberFormat="1" applyFont="1" applyFill="1" applyBorder="1" applyAlignment="1">
      <alignment horizontal="center" vertical="center"/>
    </xf>
    <xf numFmtId="165" fontId="13" fillId="0" borderId="18" xfId="0" applyNumberFormat="1" applyFont="1" applyFill="1" applyBorder="1" applyAlignment="1">
      <alignment horizontal="center" vertical="center"/>
    </xf>
    <xf numFmtId="0" fontId="3" fillId="10" borderId="48" xfId="0" applyFont="1" applyFill="1" applyBorder="1" applyAlignment="1">
      <alignment vertical="center"/>
    </xf>
    <xf numFmtId="0" fontId="11" fillId="10" borderId="49" xfId="0" applyFont="1" applyFill="1" applyBorder="1" applyAlignment="1">
      <alignment horizontal="justify" vertical="center"/>
    </xf>
    <xf numFmtId="165" fontId="4" fillId="10" borderId="49" xfId="0" applyNumberFormat="1" applyFont="1" applyFill="1" applyBorder="1" applyAlignment="1">
      <alignment horizontal="justify" vertical="center" wrapText="1"/>
    </xf>
    <xf numFmtId="2" fontId="5" fillId="10" borderId="49" xfId="0" applyNumberFormat="1" applyFont="1" applyFill="1" applyBorder="1" applyAlignment="1">
      <alignment horizontal="center" vertical="center" wrapText="1"/>
    </xf>
    <xf numFmtId="165" fontId="5" fillId="10" borderId="49" xfId="0" applyNumberFormat="1" applyFont="1" applyFill="1" applyBorder="1" applyAlignment="1">
      <alignment horizontal="justify" vertical="center" wrapText="1"/>
    </xf>
    <xf numFmtId="165" fontId="9" fillId="10" borderId="49" xfId="0" applyNumberFormat="1" applyFont="1" applyFill="1" applyBorder="1" applyAlignment="1">
      <alignment horizontal="center" vertical="center"/>
    </xf>
    <xf numFmtId="165" fontId="9" fillId="10" borderId="48" xfId="0" applyNumberFormat="1" applyFont="1" applyFill="1" applyBorder="1" applyAlignment="1">
      <alignment horizontal="center" vertical="center"/>
    </xf>
    <xf numFmtId="165" fontId="9" fillId="10" borderId="50" xfId="0" applyNumberFormat="1" applyFont="1" applyFill="1" applyBorder="1" applyAlignment="1">
      <alignment horizontal="center" vertical="center"/>
    </xf>
    <xf numFmtId="44" fontId="9" fillId="10" borderId="49" xfId="0" applyNumberFormat="1" applyFont="1" applyFill="1" applyBorder="1" applyAlignment="1">
      <alignment horizontal="right" vertical="center"/>
    </xf>
    <xf numFmtId="164" fontId="9" fillId="10" borderId="50" xfId="2" applyFont="1" applyFill="1" applyBorder="1" applyAlignment="1">
      <alignment horizontal="right" vertical="center"/>
    </xf>
    <xf numFmtId="165" fontId="5" fillId="10" borderId="48" xfId="0" applyNumberFormat="1" applyFont="1" applyFill="1" applyBorder="1" applyAlignment="1">
      <alignment horizontal="justify" vertical="center" wrapText="1"/>
    </xf>
    <xf numFmtId="165" fontId="5" fillId="10" borderId="50" xfId="0" applyNumberFormat="1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justify" vertical="center"/>
    </xf>
    <xf numFmtId="165" fontId="12" fillId="0" borderId="0" xfId="1" applyNumberFormat="1" applyFont="1" applyFill="1" applyBorder="1" applyAlignment="1">
      <alignment horizontal="center" vertical="center"/>
    </xf>
    <xf numFmtId="167" fontId="11" fillId="0" borderId="0" xfId="1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164" fontId="11" fillId="0" borderId="0" xfId="2" applyFont="1" applyFill="1" applyBorder="1" applyAlignment="1">
      <alignment vertical="center"/>
    </xf>
    <xf numFmtId="9" fontId="3" fillId="0" borderId="0" xfId="3" applyFont="1" applyFill="1" applyBorder="1" applyAlignment="1">
      <alignment horizontal="center" vertical="center"/>
    </xf>
    <xf numFmtId="165" fontId="3" fillId="0" borderId="0" xfId="2" applyNumberFormat="1" applyFont="1" applyBorder="1" applyAlignment="1">
      <alignment horizontal="center" vertical="center"/>
    </xf>
    <xf numFmtId="9" fontId="3" fillId="0" borderId="0" xfId="0" applyNumberFormat="1" applyFont="1" applyFill="1" applyBorder="1" applyAlignment="1">
      <alignment horizontal="center" vertical="center"/>
    </xf>
    <xf numFmtId="164" fontId="3" fillId="0" borderId="0" xfId="2" applyFont="1" applyFill="1" applyBorder="1" applyAlignment="1">
      <alignment horizontal="center" vertical="center"/>
    </xf>
    <xf numFmtId="164" fontId="11" fillId="0" borderId="0" xfId="2" applyFont="1" applyFill="1" applyBorder="1" applyAlignment="1">
      <alignment horizontal="center" vertical="center"/>
    </xf>
    <xf numFmtId="164" fontId="13" fillId="0" borderId="0" xfId="2" applyFont="1" applyFill="1" applyBorder="1" applyAlignment="1">
      <alignment horizontal="justify" vertical="center"/>
    </xf>
    <xf numFmtId="165" fontId="11" fillId="9" borderId="0" xfId="0" applyNumberFormat="1" applyFont="1" applyFill="1" applyBorder="1" applyAlignment="1">
      <alignment horizontal="justify" vertical="center" wrapText="1"/>
    </xf>
    <xf numFmtId="165" fontId="13" fillId="0" borderId="0" xfId="0" applyNumberFormat="1" applyFont="1" applyBorder="1" applyAlignment="1">
      <alignment horizontal="right" vertical="center"/>
    </xf>
    <xf numFmtId="164" fontId="13" fillId="0" borderId="0" xfId="2" applyFont="1" applyFill="1" applyBorder="1" applyAlignment="1">
      <alignment horizontal="right" vertical="center"/>
    </xf>
    <xf numFmtId="165" fontId="3" fillId="0" borderId="32" xfId="0" applyNumberFormat="1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164" fontId="16" fillId="12" borderId="3" xfId="2" applyFont="1" applyFill="1" applyBorder="1" applyAlignment="1">
      <alignment horizontal="justify" vertical="center"/>
    </xf>
    <xf numFmtId="2" fontId="7" fillId="12" borderId="3" xfId="1" applyNumberFormat="1" applyFont="1" applyFill="1" applyBorder="1" applyAlignment="1">
      <alignment horizontal="center" vertical="center"/>
    </xf>
    <xf numFmtId="164" fontId="7" fillId="12" borderId="3" xfId="2" applyFont="1" applyFill="1" applyBorder="1" applyAlignment="1">
      <alignment horizontal="justify" vertical="center"/>
    </xf>
    <xf numFmtId="0" fontId="7" fillId="0" borderId="0" xfId="0" applyFont="1" applyBorder="1" applyAlignment="1">
      <alignment vertical="center"/>
    </xf>
    <xf numFmtId="0" fontId="3" fillId="0" borderId="0" xfId="0" applyFont="1" applyBorder="1" applyAlignment="1">
      <alignment horizontal="justify" vertical="center"/>
    </xf>
    <xf numFmtId="44" fontId="16" fillId="0" borderId="3" xfId="0" applyNumberFormat="1" applyFont="1" applyBorder="1" applyAlignment="1">
      <alignment horizontal="center" vertical="center"/>
    </xf>
    <xf numFmtId="2" fontId="17" fillId="0" borderId="3" xfId="0" applyNumberFormat="1" applyFont="1" applyBorder="1" applyAlignment="1">
      <alignment horizontal="center" vertical="center"/>
    </xf>
    <xf numFmtId="164" fontId="17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5" fontId="17" fillId="0" borderId="3" xfId="2" applyNumberFormat="1" applyFont="1" applyBorder="1" applyAlignment="1">
      <alignment vertical="center"/>
    </xf>
    <xf numFmtId="0" fontId="17" fillId="0" borderId="3" xfId="0" applyFont="1" applyBorder="1" applyAlignment="1">
      <alignment vertical="center"/>
    </xf>
    <xf numFmtId="165" fontId="3" fillId="0" borderId="0" xfId="2" applyNumberFormat="1" applyFont="1" applyBorder="1" applyAlignment="1">
      <alignment vertical="center"/>
    </xf>
    <xf numFmtId="164" fontId="16" fillId="0" borderId="0" xfId="2" applyFont="1" applyBorder="1" applyAlignment="1">
      <alignment horizontal="center" vertical="center"/>
    </xf>
    <xf numFmtId="44" fontId="16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44" fontId="3" fillId="0" borderId="0" xfId="0" applyNumberFormat="1" applyFont="1" applyBorder="1" applyAlignment="1">
      <alignment horizontal="justify" vertical="center"/>
    </xf>
    <xf numFmtId="0" fontId="2" fillId="0" borderId="3" xfId="0" applyFont="1" applyBorder="1" applyAlignment="1">
      <alignment horizontal="justify" vertical="center"/>
    </xf>
    <xf numFmtId="164" fontId="2" fillId="0" borderId="3" xfId="0" applyNumberFormat="1" applyFont="1" applyBorder="1" applyAlignment="1">
      <alignment horizontal="justify" vertical="center"/>
    </xf>
    <xf numFmtId="9" fontId="2" fillId="0" borderId="3" xfId="3" applyFont="1" applyBorder="1" applyAlignment="1">
      <alignment horizontal="center" vertical="center"/>
    </xf>
    <xf numFmtId="0" fontId="7" fillId="0" borderId="0" xfId="0" applyFont="1" applyBorder="1" applyAlignment="1">
      <alignment horizontal="justify" vertical="center"/>
    </xf>
    <xf numFmtId="44" fontId="2" fillId="0" borderId="3" xfId="0" applyNumberFormat="1" applyFont="1" applyBorder="1" applyAlignment="1">
      <alignment horizontal="justify" vertical="center"/>
    </xf>
    <xf numFmtId="9" fontId="2" fillId="0" borderId="3" xfId="0" applyNumberFormat="1" applyFont="1" applyBorder="1" applyAlignment="1">
      <alignment horizontal="center" vertical="center"/>
    </xf>
    <xf numFmtId="169" fontId="3" fillId="0" borderId="0" xfId="0" applyNumberFormat="1" applyFont="1" applyBorder="1" applyAlignment="1">
      <alignment horizontal="justify" vertical="center"/>
    </xf>
    <xf numFmtId="9" fontId="3" fillId="0" borderId="3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5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horizontal="right" vertical="center"/>
    </xf>
    <xf numFmtId="15" fontId="3" fillId="0" borderId="3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7" borderId="3" xfId="0" applyFont="1" applyFill="1" applyBorder="1" applyAlignment="1">
      <alignment vertical="center"/>
    </xf>
    <xf numFmtId="0" fontId="3" fillId="7" borderId="3" xfId="0" applyFont="1" applyFill="1" applyBorder="1" applyAlignment="1">
      <alignment horizontal="right" vertical="center"/>
    </xf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right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/>
    </xf>
    <xf numFmtId="0" fontId="7" fillId="5" borderId="21" xfId="0" applyFont="1" applyFill="1" applyBorder="1" applyAlignment="1">
      <alignment horizontal="center" vertical="center"/>
    </xf>
    <xf numFmtId="0" fontId="7" fillId="5" borderId="23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5" fillId="7" borderId="12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5" fillId="7" borderId="24" xfId="0" applyFont="1" applyFill="1" applyBorder="1" applyAlignment="1">
      <alignment horizontal="center" vertical="center" wrapText="1"/>
    </xf>
    <xf numFmtId="0" fontId="5" fillId="7" borderId="25" xfId="0" applyFont="1" applyFill="1" applyBorder="1" applyAlignment="1">
      <alignment horizontal="center" vertical="center" wrapText="1"/>
    </xf>
    <xf numFmtId="0" fontId="5" fillId="7" borderId="26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5" fillId="8" borderId="27" xfId="0" applyFont="1" applyFill="1" applyBorder="1" applyAlignment="1">
      <alignment horizontal="center" vertical="center" wrapText="1"/>
    </xf>
    <xf numFmtId="0" fontId="5" fillId="8" borderId="0" xfId="0" applyFont="1" applyFill="1" applyBorder="1" applyAlignment="1">
      <alignment horizontal="center" vertical="center" wrapText="1"/>
    </xf>
    <xf numFmtId="0" fontId="5" fillId="8" borderId="20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22" xfId="0" applyFont="1" applyFill="1" applyBorder="1" applyAlignment="1">
      <alignment horizontal="center" vertical="center"/>
    </xf>
    <xf numFmtId="165" fontId="3" fillId="0" borderId="30" xfId="0" applyNumberFormat="1" applyFont="1" applyBorder="1" applyAlignment="1">
      <alignment horizontal="center" vertical="center"/>
    </xf>
    <xf numFmtId="165" fontId="3" fillId="0" borderId="33" xfId="0" applyNumberFormat="1" applyFont="1" applyBorder="1" applyAlignment="1">
      <alignment horizontal="center" vertical="center"/>
    </xf>
    <xf numFmtId="165" fontId="3" fillId="0" borderId="31" xfId="0" applyNumberFormat="1" applyFont="1" applyBorder="1" applyAlignment="1">
      <alignment horizontal="center" vertical="center"/>
    </xf>
    <xf numFmtId="165" fontId="3" fillId="0" borderId="34" xfId="0" applyNumberFormat="1" applyFont="1" applyBorder="1" applyAlignment="1">
      <alignment horizontal="center" vertical="center"/>
    </xf>
    <xf numFmtId="165" fontId="12" fillId="9" borderId="30" xfId="1" applyNumberFormat="1" applyFont="1" applyFill="1" applyBorder="1" applyAlignment="1">
      <alignment horizontal="center" vertical="center"/>
    </xf>
    <xf numFmtId="165" fontId="12" fillId="9" borderId="36" xfId="1" applyNumberFormat="1" applyFont="1" applyFill="1" applyBorder="1" applyAlignment="1">
      <alignment horizontal="center" vertical="center"/>
    </xf>
    <xf numFmtId="165" fontId="12" fillId="9" borderId="33" xfId="1" applyNumberFormat="1" applyFont="1" applyFill="1" applyBorder="1" applyAlignment="1">
      <alignment horizontal="center" vertical="center"/>
    </xf>
    <xf numFmtId="165" fontId="11" fillId="0" borderId="6" xfId="2" applyNumberFormat="1" applyFont="1" applyFill="1" applyBorder="1" applyAlignment="1">
      <alignment horizontal="center" vertical="center"/>
    </xf>
    <xf numFmtId="165" fontId="11" fillId="0" borderId="3" xfId="2" applyNumberFormat="1" applyFont="1" applyFill="1" applyBorder="1" applyAlignment="1">
      <alignment horizontal="center" vertical="center"/>
    </xf>
    <xf numFmtId="165" fontId="11" fillId="0" borderId="18" xfId="2" applyNumberFormat="1" applyFont="1" applyFill="1" applyBorder="1" applyAlignment="1">
      <alignment horizontal="center" vertical="center"/>
    </xf>
    <xf numFmtId="164" fontId="11" fillId="0" borderId="6" xfId="2" applyFont="1" applyFill="1" applyBorder="1" applyAlignment="1">
      <alignment horizontal="center" vertical="center"/>
    </xf>
    <xf numFmtId="164" fontId="11" fillId="0" borderId="3" xfId="2" applyFont="1" applyFill="1" applyBorder="1" applyAlignment="1">
      <alignment horizontal="center" vertical="center"/>
    </xf>
    <xf numFmtId="164" fontId="11" fillId="0" borderId="18" xfId="2" applyFont="1" applyFill="1" applyBorder="1" applyAlignment="1">
      <alignment horizontal="center" vertical="center"/>
    </xf>
    <xf numFmtId="164" fontId="11" fillId="0" borderId="30" xfId="2" applyFont="1" applyFill="1" applyBorder="1" applyAlignment="1">
      <alignment horizontal="center" vertical="center"/>
    </xf>
    <xf numFmtId="164" fontId="11" fillId="0" borderId="36" xfId="2" applyFont="1" applyFill="1" applyBorder="1" applyAlignment="1">
      <alignment horizontal="center" vertical="center"/>
    </xf>
    <xf numFmtId="164" fontId="11" fillId="0" borderId="33" xfId="2" applyFont="1" applyFill="1" applyBorder="1" applyAlignment="1">
      <alignment horizontal="center" vertical="center"/>
    </xf>
    <xf numFmtId="164" fontId="3" fillId="0" borderId="6" xfId="2" applyFont="1" applyFill="1" applyBorder="1" applyAlignment="1">
      <alignment horizontal="center" vertical="center"/>
    </xf>
    <xf numFmtId="164" fontId="3" fillId="0" borderId="3" xfId="2" applyFont="1" applyFill="1" applyBorder="1" applyAlignment="1">
      <alignment horizontal="center" vertical="center"/>
    </xf>
    <xf numFmtId="164" fontId="3" fillId="0" borderId="18" xfId="2" applyFont="1" applyFill="1" applyBorder="1" applyAlignment="1">
      <alignment horizontal="center" vertical="center"/>
    </xf>
    <xf numFmtId="165" fontId="3" fillId="0" borderId="6" xfId="2" applyNumberFormat="1" applyFont="1" applyBorder="1" applyAlignment="1">
      <alignment horizontal="center" vertical="center"/>
    </xf>
    <xf numFmtId="165" fontId="3" fillId="0" borderId="18" xfId="2" applyNumberFormat="1" applyFont="1" applyBorder="1" applyAlignment="1">
      <alignment horizontal="center" vertical="center"/>
    </xf>
    <xf numFmtId="165" fontId="3" fillId="0" borderId="36" xfId="0" applyNumberFormat="1" applyFont="1" applyBorder="1" applyAlignment="1">
      <alignment horizontal="center" vertical="center"/>
    </xf>
    <xf numFmtId="165" fontId="3" fillId="0" borderId="37" xfId="0" applyNumberFormat="1" applyFont="1" applyBorder="1" applyAlignment="1">
      <alignment horizontal="center" vertical="center"/>
    </xf>
    <xf numFmtId="165" fontId="3" fillId="0" borderId="32" xfId="2" applyNumberFormat="1" applyFont="1" applyBorder="1" applyAlignment="1">
      <alignment horizontal="center" vertical="center"/>
    </xf>
    <xf numFmtId="165" fontId="3" fillId="0" borderId="3" xfId="2" applyNumberFormat="1" applyFont="1" applyBorder="1" applyAlignment="1">
      <alignment horizontal="center" vertical="center"/>
    </xf>
    <xf numFmtId="165" fontId="3" fillId="0" borderId="28" xfId="2" applyNumberFormat="1" applyFont="1" applyBorder="1" applyAlignment="1">
      <alignment horizontal="center" vertical="center"/>
    </xf>
    <xf numFmtId="167" fontId="11" fillId="0" borderId="32" xfId="1" applyNumberFormat="1" applyFont="1" applyFill="1" applyBorder="1" applyAlignment="1">
      <alignment horizontal="center" vertical="center"/>
    </xf>
    <xf numFmtId="167" fontId="11" fillId="0" borderId="3" xfId="1" applyNumberFormat="1" applyFont="1" applyFill="1" applyBorder="1" applyAlignment="1">
      <alignment horizontal="center" vertical="center"/>
    </xf>
    <xf numFmtId="167" fontId="11" fillId="0" borderId="28" xfId="1" applyNumberFormat="1" applyFont="1" applyFill="1" applyBorder="1" applyAlignment="1">
      <alignment horizontal="center" vertical="center"/>
    </xf>
    <xf numFmtId="164" fontId="11" fillId="0" borderId="32" xfId="2" applyFont="1" applyFill="1" applyBorder="1" applyAlignment="1">
      <alignment horizontal="center" vertical="center"/>
    </xf>
    <xf numFmtId="164" fontId="11" fillId="0" borderId="28" xfId="2" applyFont="1" applyFill="1" applyBorder="1" applyAlignment="1">
      <alignment horizontal="center" vertical="center"/>
    </xf>
    <xf numFmtId="164" fontId="3" fillId="0" borderId="32" xfId="2" applyFont="1" applyFill="1" applyBorder="1" applyAlignment="1">
      <alignment horizontal="center" vertical="center"/>
    </xf>
    <xf numFmtId="164" fontId="3" fillId="0" borderId="28" xfId="2" applyFont="1" applyFill="1" applyBorder="1" applyAlignment="1">
      <alignment horizontal="center" vertical="center"/>
    </xf>
    <xf numFmtId="165" fontId="11" fillId="0" borderId="32" xfId="2" applyNumberFormat="1" applyFont="1" applyFill="1" applyBorder="1" applyAlignment="1">
      <alignment horizontal="center" vertical="center"/>
    </xf>
    <xf numFmtId="167" fontId="11" fillId="0" borderId="18" xfId="1" applyNumberFormat="1" applyFont="1" applyFill="1" applyBorder="1" applyAlignment="1">
      <alignment horizontal="center" vertical="center"/>
    </xf>
    <xf numFmtId="165" fontId="3" fillId="0" borderId="32" xfId="2" applyNumberFormat="1" applyFont="1" applyFill="1" applyBorder="1" applyAlignment="1">
      <alignment horizontal="center" vertical="center"/>
    </xf>
    <xf numFmtId="165" fontId="3" fillId="0" borderId="3" xfId="2" applyNumberFormat="1" applyFont="1" applyFill="1" applyBorder="1" applyAlignment="1">
      <alignment horizontal="center" vertical="center"/>
    </xf>
    <xf numFmtId="165" fontId="3" fillId="0" borderId="18" xfId="2" applyNumberFormat="1" applyFont="1" applyFill="1" applyBorder="1" applyAlignment="1">
      <alignment horizontal="center" vertical="center"/>
    </xf>
    <xf numFmtId="164" fontId="17" fillId="0" borderId="3" xfId="0" applyNumberFormat="1" applyFont="1" applyBorder="1" applyAlignment="1">
      <alignment horizontal="center" vertical="center"/>
    </xf>
    <xf numFmtId="0" fontId="2" fillId="11" borderId="3" xfId="0" applyFont="1" applyFill="1" applyBorder="1" applyAlignment="1">
      <alignment horizontal="center" vertical="center"/>
    </xf>
    <xf numFmtId="0" fontId="7" fillId="12" borderId="3" xfId="0" applyFont="1" applyFill="1" applyBorder="1" applyAlignment="1">
      <alignment horizontal="center" vertical="center"/>
    </xf>
    <xf numFmtId="44" fontId="17" fillId="0" borderId="4" xfId="0" applyNumberFormat="1" applyFont="1" applyBorder="1" applyAlignment="1">
      <alignment horizontal="center" vertical="center"/>
    </xf>
    <xf numFmtId="44" fontId="17" fillId="0" borderId="10" xfId="0" applyNumberFormat="1" applyFont="1" applyBorder="1" applyAlignment="1">
      <alignment horizontal="center" vertical="center"/>
    </xf>
    <xf numFmtId="44" fontId="17" fillId="0" borderId="11" xfId="0" applyNumberFormat="1" applyFont="1" applyBorder="1" applyAlignment="1">
      <alignment horizontal="center" vertical="center"/>
    </xf>
    <xf numFmtId="164" fontId="17" fillId="0" borderId="51" xfId="2" applyFont="1" applyBorder="1" applyAlignment="1">
      <alignment horizontal="center" vertical="center"/>
    </xf>
    <xf numFmtId="164" fontId="17" fillId="0" borderId="52" xfId="2" applyFont="1" applyBorder="1" applyAlignment="1">
      <alignment horizontal="center" vertical="center"/>
    </xf>
    <xf numFmtId="44" fontId="17" fillId="0" borderId="21" xfId="0" applyNumberFormat="1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168" fontId="17" fillId="0" borderId="3" xfId="0" applyNumberFormat="1" applyFont="1" applyBorder="1" applyAlignment="1">
      <alignment horizontal="right" vertic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:/LUIS%20P&#201;REZ%20FFI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Alexander%20Palacio/Desktop/AMVA/AMVA%202018/FFIE/INFRAESTRUCTURA%20EDUCATIVA/PROYECCI&#211;N%20DE%20OBRA%20(RESUMEN)%2023052018%20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IFICATORIOS RESUMIDO"/>
      <sheetName val="MODIFICATORIOS"/>
      <sheetName val="MODIFICATORIOS (2)"/>
      <sheetName val="RESUMEN FFIE-15 NOVIEMBRE 2018"/>
      <sheetName val="ACTUAL - 2019 (eject)"/>
      <sheetName val="ACTUAL - 2019"/>
      <sheetName val="RENDIMIENTOS AMVA OCTUBRE"/>
      <sheetName val="URBANISMO - 10 DE OCTUBRE 2018"/>
      <sheetName val="BARBOSA"/>
      <sheetName val="BELLO"/>
      <sheetName val="CALDAS"/>
      <sheetName val="COPACABANA"/>
      <sheetName val="ENVIGADO"/>
      <sheetName val="GIRARDOTA"/>
      <sheetName val="ITAGUÍ"/>
      <sheetName val="LA ESTRELLA"/>
      <sheetName val="MEDELLÍN"/>
      <sheetName val="SABANETA"/>
      <sheetName val="ACTUAL - 6 DE SEPTIEMBRE 20 (2"/>
      <sheetName val="ACTUAL"/>
      <sheetName val="ACTUAL MODIFICATORIOS"/>
      <sheetName val="RESUMEN"/>
      <sheetName val="RENDIMIENTOS AMVA ABRIL"/>
      <sheetName val="RENDIMIENTOS AMVA MAYO"/>
      <sheetName val="RENDIMIENTOS AMVA JUNIO"/>
      <sheetName val="OFICIO FEBRERO 2018"/>
      <sheetName val="ACTUAL (2)"/>
      <sheetName val="Hoja2"/>
      <sheetName val="ACTUAL (3)"/>
      <sheetName val="Hoja3"/>
      <sheetName val="AULAS"/>
      <sheetName val="Hoja17"/>
      <sheetName val="Hoja16"/>
      <sheetName val="Hoja15"/>
      <sheetName val="Hoja14"/>
      <sheetName val="Hoja13"/>
      <sheetName val="Hoja12"/>
      <sheetName val="Hoja11"/>
      <sheetName val="Hoja10"/>
      <sheetName val="Hoja9"/>
      <sheetName val="Hoja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">
          <cell r="E8">
            <v>677900748.20000005</v>
          </cell>
        </row>
        <row r="9">
          <cell r="H9">
            <v>190179293.20000002</v>
          </cell>
        </row>
        <row r="15">
          <cell r="E15">
            <v>765952486</v>
          </cell>
        </row>
        <row r="17">
          <cell r="H17">
            <v>400000000</v>
          </cell>
        </row>
        <row r="19">
          <cell r="E19">
            <v>238702167.59999999</v>
          </cell>
        </row>
        <row r="23">
          <cell r="E23">
            <v>884252869.5</v>
          </cell>
        </row>
        <row r="25">
          <cell r="H25">
            <v>1000000000</v>
          </cell>
        </row>
        <row r="29">
          <cell r="E29">
            <v>377867538.10000002</v>
          </cell>
        </row>
        <row r="33">
          <cell r="E33">
            <v>486856854.90000004</v>
          </cell>
        </row>
        <row r="35">
          <cell r="E35">
            <v>874941009.80000007</v>
          </cell>
          <cell r="H35">
            <v>400000000</v>
          </cell>
        </row>
        <row r="47">
          <cell r="H47">
            <v>156499331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">
          <cell r="E2">
            <v>0</v>
          </cell>
          <cell r="F2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  <cell r="F18">
            <v>0</v>
          </cell>
        </row>
        <row r="24">
          <cell r="E24">
            <v>0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NT. MACHADO"/>
      <sheetName val="ACTA"/>
      <sheetName val="RESUMEN"/>
      <sheetName val="CUADRO COLEGIOS"/>
      <sheetName val="I.E. LICEO ANT- BELL"/>
      <sheetName val="TOMÁS- BELL"/>
      <sheetName val="O.E"/>
      <sheetName val="GRAFICAS"/>
      <sheetName val="cuadro informe"/>
      <sheetName val="Hoja1"/>
    </sheetNames>
    <sheetDataSet>
      <sheetData sheetId="0"/>
      <sheetData sheetId="1"/>
      <sheetData sheetId="2"/>
      <sheetData sheetId="3">
        <row r="3">
          <cell r="E3">
            <v>515231381.52959514</v>
          </cell>
        </row>
        <row r="4">
          <cell r="E4">
            <v>150018592.11167753</v>
          </cell>
        </row>
        <row r="5">
          <cell r="E5">
            <v>342715456.09242225</v>
          </cell>
        </row>
        <row r="6">
          <cell r="E6">
            <v>200298599.5638845</v>
          </cell>
        </row>
        <row r="7">
          <cell r="E7">
            <v>205063608.30198562</v>
          </cell>
        </row>
        <row r="8">
          <cell r="E8">
            <v>346024966.344275</v>
          </cell>
        </row>
        <row r="9">
          <cell r="E9">
            <v>133751853.09422012</v>
          </cell>
        </row>
        <row r="10">
          <cell r="E10">
            <v>716502624.19637501</v>
          </cell>
        </row>
        <row r="11">
          <cell r="E11">
            <v>139851538.635499</v>
          </cell>
        </row>
        <row r="12">
          <cell r="E12">
            <v>222803685.21665186</v>
          </cell>
        </row>
        <row r="13">
          <cell r="E13">
            <v>71267102.087072745</v>
          </cell>
        </row>
        <row r="14">
          <cell r="E14">
            <v>283419488.7896294</v>
          </cell>
        </row>
        <row r="15">
          <cell r="E15">
            <v>152841077.79490936</v>
          </cell>
        </row>
        <row r="16">
          <cell r="E16">
            <v>36773995.979166806</v>
          </cell>
        </row>
        <row r="17">
          <cell r="E17">
            <v>415754735.13031209</v>
          </cell>
        </row>
        <row r="18">
          <cell r="E18">
            <v>123569753.24907313</v>
          </cell>
        </row>
        <row r="19">
          <cell r="E19">
            <v>184326053.83852303</v>
          </cell>
        </row>
        <row r="20">
          <cell r="E20">
            <v>124230801.99747573</v>
          </cell>
        </row>
        <row r="21">
          <cell r="E21">
            <v>166215664.98343426</v>
          </cell>
        </row>
        <row r="22">
          <cell r="E22">
            <v>238171793.74448508</v>
          </cell>
        </row>
        <row r="23">
          <cell r="E23">
            <v>103295627.08701278</v>
          </cell>
        </row>
        <row r="24">
          <cell r="E24">
            <v>14373813.614598995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22445-11C0-4A4A-8BED-263ECF51E568}">
  <dimension ref="A1:AU69"/>
  <sheetViews>
    <sheetView tabSelected="1" zoomScale="115" zoomScaleNormal="115" workbookViewId="0">
      <pane xSplit="6" ySplit="3" topLeftCell="G4" activePane="bottomRight" state="frozen"/>
      <selection pane="topRight" activeCell="I1" sqref="I1"/>
      <selection pane="bottomLeft" activeCell="A4" sqref="A4"/>
      <selection pane="bottomRight" activeCell="AT5" sqref="AT5"/>
    </sheetView>
  </sheetViews>
  <sheetFormatPr baseColWidth="10" defaultColWidth="11.5" defaultRowHeight="14" x14ac:dyDescent="0.2"/>
  <cols>
    <col min="1" max="1" width="3" style="1" bestFit="1" customWidth="1"/>
    <col min="2" max="2" width="8.83203125" style="2" customWidth="1"/>
    <col min="3" max="3" width="29" style="273" bestFit="1" customWidth="1"/>
    <col min="4" max="4" width="20" style="273" bestFit="1" customWidth="1"/>
    <col min="5" max="5" width="19" style="273" bestFit="1" customWidth="1"/>
    <col min="6" max="6" width="19.1640625" style="273" customWidth="1"/>
    <col min="7" max="7" width="26.6640625" style="273" customWidth="1"/>
    <col min="8" max="8" width="13.5" style="2" hidden="1" customWidth="1"/>
    <col min="9" max="11" width="14.1640625" style="2" hidden="1" customWidth="1"/>
    <col min="12" max="12" width="26.83203125" style="2" hidden="1" customWidth="1"/>
    <col min="13" max="13" width="4.33203125" style="2" hidden="1" customWidth="1"/>
    <col min="14" max="14" width="26.1640625" style="280" hidden="1" customWidth="1"/>
    <col min="15" max="15" width="29.6640625" style="2" hidden="1" customWidth="1"/>
    <col min="16" max="16" width="9.5" style="2" hidden="1" customWidth="1"/>
    <col min="17" max="17" width="25.33203125" style="2" hidden="1" customWidth="1"/>
    <col min="18" max="18" width="26.83203125" style="2" hidden="1" customWidth="1"/>
    <col min="19" max="19" width="4.33203125" style="2" hidden="1" customWidth="1"/>
    <col min="20" max="20" width="25.33203125" style="2" hidden="1" customWidth="1"/>
    <col min="21" max="21" width="26.83203125" style="2" hidden="1" customWidth="1"/>
    <col min="22" max="22" width="20" style="273" hidden="1" customWidth="1"/>
    <col min="23" max="23" width="21.33203125" style="273" hidden="1" customWidth="1"/>
    <col min="24" max="24" width="20" style="273" hidden="1" customWidth="1"/>
    <col min="25" max="25" width="21.33203125" style="273" hidden="1" customWidth="1"/>
    <col min="26" max="26" width="21.5" style="1" hidden="1" customWidth="1"/>
    <col min="27" max="27" width="17.1640625" style="1" hidden="1" customWidth="1"/>
    <col min="28" max="31" width="18.1640625" style="1" hidden="1" customWidth="1"/>
    <col min="32" max="32" width="0.5" style="1" hidden="1" customWidth="1"/>
    <col min="33" max="35" width="18.1640625" style="1" hidden="1" customWidth="1"/>
    <col min="36" max="36" width="17.1640625" style="1" hidden="1" customWidth="1"/>
    <col min="37" max="38" width="17.5" style="1" hidden="1" customWidth="1"/>
    <col min="39" max="39" width="18.33203125" style="2" hidden="1" customWidth="1"/>
    <col min="40" max="40" width="17.1640625" style="2" hidden="1" customWidth="1"/>
    <col min="41" max="41" width="19.5" style="273" hidden="1" customWidth="1"/>
    <col min="42" max="42" width="20" style="273" hidden="1" customWidth="1"/>
    <col min="43" max="43" width="21.33203125" style="273" hidden="1" customWidth="1"/>
    <col min="44" max="44" width="27" style="2" customWidth="1"/>
    <col min="45" max="45" width="11.83203125" style="298" customWidth="1"/>
    <col min="46" max="46" width="13.1640625" style="2" customWidth="1"/>
    <col min="47" max="48" width="11.5" style="2"/>
    <col min="49" max="49" width="19.5" style="2" bestFit="1" customWidth="1"/>
    <col min="50" max="16384" width="11.5" style="2"/>
  </cols>
  <sheetData>
    <row r="1" spans="1:47" ht="21" customHeight="1" x14ac:dyDescent="0.2">
      <c r="B1" s="326" t="s">
        <v>0</v>
      </c>
      <c r="C1" s="326" t="s">
        <v>1</v>
      </c>
      <c r="D1" s="302" t="s">
        <v>2</v>
      </c>
      <c r="E1" s="303"/>
      <c r="F1" s="303"/>
      <c r="G1" s="328" t="s">
        <v>94</v>
      </c>
      <c r="H1" s="328" t="s">
        <v>3</v>
      </c>
      <c r="I1" s="330" t="s">
        <v>4</v>
      </c>
      <c r="J1" s="308"/>
      <c r="K1" s="308"/>
      <c r="L1" s="331"/>
      <c r="M1" s="307" t="s">
        <v>5</v>
      </c>
      <c r="N1" s="308"/>
      <c r="O1" s="323" t="s">
        <v>6</v>
      </c>
      <c r="P1" s="324"/>
      <c r="Q1" s="324"/>
      <c r="R1" s="324"/>
      <c r="S1" s="324"/>
      <c r="T1" s="324"/>
      <c r="U1" s="324"/>
      <c r="V1" s="324"/>
      <c r="W1" s="324"/>
      <c r="X1" s="324"/>
      <c r="Y1" s="324"/>
      <c r="Z1" s="324"/>
      <c r="AA1" s="324"/>
      <c r="AB1" s="324"/>
      <c r="AC1" s="324"/>
      <c r="AD1" s="324"/>
      <c r="AE1" s="324"/>
      <c r="AF1" s="324"/>
      <c r="AG1" s="324"/>
      <c r="AH1" s="324"/>
      <c r="AI1" s="325"/>
      <c r="AJ1" s="311" t="s">
        <v>7</v>
      </c>
      <c r="AK1" s="311"/>
      <c r="AL1" s="312" t="s">
        <v>8</v>
      </c>
      <c r="AM1" s="313"/>
      <c r="AN1" s="314"/>
      <c r="AO1" s="2"/>
      <c r="AP1" s="2"/>
      <c r="AQ1" s="2"/>
      <c r="AR1" s="301" t="s">
        <v>93</v>
      </c>
      <c r="AS1" s="306" t="s">
        <v>96</v>
      </c>
      <c r="AT1" s="301" t="s">
        <v>101</v>
      </c>
      <c r="AU1" s="301" t="s">
        <v>95</v>
      </c>
    </row>
    <row r="2" spans="1:47" ht="36" customHeight="1" thickBot="1" x14ac:dyDescent="0.25">
      <c r="B2" s="327"/>
      <c r="C2" s="327"/>
      <c r="D2" s="304"/>
      <c r="E2" s="305"/>
      <c r="F2" s="305"/>
      <c r="G2" s="329"/>
      <c r="H2" s="329"/>
      <c r="I2" s="309"/>
      <c r="J2" s="332"/>
      <c r="K2" s="332"/>
      <c r="L2" s="310"/>
      <c r="M2" s="309"/>
      <c r="N2" s="310"/>
      <c r="O2" s="318" t="s">
        <v>9</v>
      </c>
      <c r="P2" s="319"/>
      <c r="Q2" s="319"/>
      <c r="R2" s="319"/>
      <c r="S2" s="3" t="s">
        <v>10</v>
      </c>
      <c r="T2" s="315" t="s">
        <v>11</v>
      </c>
      <c r="U2" s="316"/>
      <c r="V2" s="317"/>
      <c r="W2" s="315" t="s">
        <v>12</v>
      </c>
      <c r="X2" s="316"/>
      <c r="Y2" s="316"/>
      <c r="Z2" s="316"/>
      <c r="AA2" s="316"/>
      <c r="AB2" s="316"/>
      <c r="AC2" s="316"/>
      <c r="AD2" s="316"/>
      <c r="AE2" s="316"/>
      <c r="AF2" s="317"/>
      <c r="AG2" s="320" t="s">
        <v>13</v>
      </c>
      <c r="AH2" s="321"/>
      <c r="AI2" s="322"/>
      <c r="AJ2" s="311"/>
      <c r="AK2" s="311"/>
      <c r="AL2" s="315"/>
      <c r="AM2" s="316"/>
      <c r="AN2" s="317"/>
      <c r="AO2" s="2"/>
      <c r="AP2" s="2"/>
      <c r="AQ2" s="2"/>
      <c r="AR2" s="301"/>
      <c r="AS2" s="306"/>
      <c r="AT2" s="301"/>
      <c r="AU2" s="301"/>
    </row>
    <row r="3" spans="1:47" ht="93" customHeight="1" thickBot="1" x14ac:dyDescent="0.25">
      <c r="B3" s="327"/>
      <c r="C3" s="327"/>
      <c r="D3" s="4" t="s">
        <v>14</v>
      </c>
      <c r="E3" s="4" t="s">
        <v>0</v>
      </c>
      <c r="F3" s="4" t="s">
        <v>15</v>
      </c>
      <c r="G3" s="329"/>
      <c r="H3" s="329"/>
      <c r="I3" s="5" t="s">
        <v>16</v>
      </c>
      <c r="J3" s="5" t="s">
        <v>17</v>
      </c>
      <c r="K3" s="6" t="s">
        <v>18</v>
      </c>
      <c r="L3" s="5" t="s">
        <v>19</v>
      </c>
      <c r="M3" s="5" t="s">
        <v>0</v>
      </c>
      <c r="N3" s="5" t="s">
        <v>15</v>
      </c>
      <c r="O3" s="7" t="s">
        <v>20</v>
      </c>
      <c r="P3" s="7" t="s">
        <v>17</v>
      </c>
      <c r="Q3" s="7" t="s">
        <v>21</v>
      </c>
      <c r="R3" s="8" t="s">
        <v>22</v>
      </c>
      <c r="S3" s="9" t="s">
        <v>23</v>
      </c>
      <c r="T3" s="10" t="s">
        <v>24</v>
      </c>
      <c r="U3" s="11" t="s">
        <v>25</v>
      </c>
      <c r="V3" s="11" t="s">
        <v>26</v>
      </c>
      <c r="W3" s="10" t="s">
        <v>24</v>
      </c>
      <c r="X3" s="11" t="s">
        <v>25</v>
      </c>
      <c r="Y3" s="11" t="s">
        <v>27</v>
      </c>
      <c r="Z3" s="10" t="s">
        <v>28</v>
      </c>
      <c r="AA3" s="11" t="s">
        <v>29</v>
      </c>
      <c r="AB3" s="11" t="s">
        <v>30</v>
      </c>
      <c r="AC3" s="10" t="s">
        <v>31</v>
      </c>
      <c r="AD3" s="11" t="s">
        <v>25</v>
      </c>
      <c r="AE3" s="11" t="s">
        <v>32</v>
      </c>
      <c r="AF3" s="10" t="s">
        <v>33</v>
      </c>
      <c r="AG3" s="12" t="s">
        <v>34</v>
      </c>
      <c r="AH3" s="12" t="s">
        <v>35</v>
      </c>
      <c r="AI3" s="13" t="s">
        <v>36</v>
      </c>
      <c r="AJ3" s="14" t="s">
        <v>15</v>
      </c>
      <c r="AK3" s="15" t="s">
        <v>37</v>
      </c>
      <c r="AL3" s="10" t="s">
        <v>38</v>
      </c>
      <c r="AM3" s="11" t="s">
        <v>25</v>
      </c>
      <c r="AN3" s="16" t="s">
        <v>39</v>
      </c>
      <c r="AO3" s="2"/>
      <c r="AP3" s="2"/>
      <c r="AQ3" s="2"/>
      <c r="AR3" s="301"/>
      <c r="AS3" s="306"/>
      <c r="AT3" s="301"/>
      <c r="AU3" s="301"/>
    </row>
    <row r="4" spans="1:47" ht="18" customHeight="1" thickBot="1" x14ac:dyDescent="0.25">
      <c r="A4" s="1">
        <v>1</v>
      </c>
      <c r="B4" s="17" t="s">
        <v>40</v>
      </c>
      <c r="C4" s="18" t="s">
        <v>41</v>
      </c>
      <c r="D4" s="20">
        <v>2420435228</v>
      </c>
      <c r="E4" s="20">
        <v>518664692</v>
      </c>
      <c r="F4" s="20">
        <v>1341243083</v>
      </c>
      <c r="G4" s="21" t="s">
        <v>99</v>
      </c>
      <c r="H4" s="21">
        <v>954</v>
      </c>
      <c r="I4" s="22">
        <v>518664692</v>
      </c>
      <c r="J4" s="23" t="e">
        <f>I4/#REF!</f>
        <v>#REF!</v>
      </c>
      <c r="K4" s="352">
        <f>I4+I5</f>
        <v>940464244</v>
      </c>
      <c r="L4" s="343"/>
      <c r="M4" s="24"/>
      <c r="N4" s="343">
        <v>74701947</v>
      </c>
      <c r="O4" s="22">
        <v>518664692</v>
      </c>
      <c r="P4" s="25" t="e">
        <f>O4/#REF!</f>
        <v>#REF!</v>
      </c>
      <c r="Q4" s="349">
        <v>348872168</v>
      </c>
      <c r="R4" s="349">
        <v>591592076</v>
      </c>
      <c r="S4" s="26">
        <v>0</v>
      </c>
      <c r="T4" s="19">
        <v>0</v>
      </c>
      <c r="U4" s="27">
        <v>0</v>
      </c>
      <c r="V4" s="27">
        <f>T4+U4+S4</f>
        <v>0</v>
      </c>
      <c r="W4" s="19">
        <f>'[1]OFICIO FEBRERO 2018'!E2</f>
        <v>0</v>
      </c>
      <c r="X4" s="27">
        <f>'[1]OFICIO FEBRERO 2018'!F2</f>
        <v>0</v>
      </c>
      <c r="Y4" s="27">
        <f>W4+X4</f>
        <v>0</v>
      </c>
      <c r="Z4" s="27">
        <v>0</v>
      </c>
      <c r="AA4" s="27">
        <v>0</v>
      </c>
      <c r="AB4" s="27">
        <f>Z4+AA4</f>
        <v>0</v>
      </c>
      <c r="AC4" s="27">
        <v>0</v>
      </c>
      <c r="AD4" s="27">
        <v>0</v>
      </c>
      <c r="AE4" s="27">
        <f>AC4+AD4</f>
        <v>0</v>
      </c>
      <c r="AF4" s="28">
        <f>AG4+AH4</f>
        <v>822578391</v>
      </c>
      <c r="AG4" s="29"/>
      <c r="AH4" s="29">
        <v>822578391</v>
      </c>
      <c r="AI4" s="30">
        <v>0</v>
      </c>
      <c r="AJ4" s="333">
        <v>74701947</v>
      </c>
      <c r="AK4" s="335">
        <v>81981592</v>
      </c>
      <c r="AL4" s="19">
        <f>'[1]OFICIO FEBRERO 2018'!T2</f>
        <v>0</v>
      </c>
      <c r="AM4" s="27">
        <f>'[1]OFICIO FEBRERO 2018'!U2</f>
        <v>0</v>
      </c>
      <c r="AN4" s="31">
        <f>AL4+AM4</f>
        <v>0</v>
      </c>
      <c r="AO4" s="2"/>
      <c r="AP4" s="2"/>
      <c r="AQ4" s="2"/>
      <c r="AR4" s="292">
        <v>0.98</v>
      </c>
      <c r="AS4" s="295" t="s">
        <v>100</v>
      </c>
      <c r="AT4" s="295" t="s">
        <v>98</v>
      </c>
      <c r="AU4" s="277" t="s">
        <v>98</v>
      </c>
    </row>
    <row r="5" spans="1:47" ht="18" customHeight="1" thickBot="1" x14ac:dyDescent="0.25">
      <c r="A5" s="1">
        <v>2</v>
      </c>
      <c r="B5" s="32" t="s">
        <v>40</v>
      </c>
      <c r="C5" s="33" t="s">
        <v>42</v>
      </c>
      <c r="D5" s="35">
        <v>1968397911</v>
      </c>
      <c r="E5" s="35">
        <v>421799552</v>
      </c>
      <c r="F5" s="20">
        <v>1377208511</v>
      </c>
      <c r="G5" s="36" t="s">
        <v>85</v>
      </c>
      <c r="H5" s="36">
        <v>905</v>
      </c>
      <c r="I5" s="37">
        <v>421799552</v>
      </c>
      <c r="J5" s="38" t="e">
        <f>I5/#REF!</f>
        <v>#REF!</v>
      </c>
      <c r="K5" s="353"/>
      <c r="L5" s="345"/>
      <c r="M5" s="39"/>
      <c r="N5" s="345"/>
      <c r="O5" s="37">
        <v>421799552</v>
      </c>
      <c r="P5" s="40" t="e">
        <f>O5/#REF!</f>
        <v>#REF!</v>
      </c>
      <c r="Q5" s="351"/>
      <c r="R5" s="351"/>
      <c r="S5" s="41">
        <v>0</v>
      </c>
      <c r="T5" s="34">
        <v>898378991</v>
      </c>
      <c r="U5" s="42">
        <v>57029968</v>
      </c>
      <c r="V5" s="42">
        <f>T5+U5</f>
        <v>955408959</v>
      </c>
      <c r="W5" s="34">
        <v>898378991</v>
      </c>
      <c r="X5" s="42">
        <v>49410845</v>
      </c>
      <c r="Y5" s="27">
        <f>W5+X5</f>
        <v>947789836</v>
      </c>
      <c r="Z5" s="42">
        <v>0</v>
      </c>
      <c r="AA5" s="42">
        <v>0</v>
      </c>
      <c r="AB5" s="42">
        <f>Z5+AA5</f>
        <v>0</v>
      </c>
      <c r="AC5" s="42">
        <v>0</v>
      </c>
      <c r="AD5" s="42">
        <v>0</v>
      </c>
      <c r="AE5" s="42">
        <f>AC5+AD5</f>
        <v>0</v>
      </c>
      <c r="AF5" s="43">
        <f>AG5+AH5</f>
        <v>0</v>
      </c>
      <c r="AG5" s="44"/>
      <c r="AH5" s="44"/>
      <c r="AI5" s="45">
        <v>0</v>
      </c>
      <c r="AJ5" s="334"/>
      <c r="AK5" s="336"/>
      <c r="AL5" s="34">
        <v>0</v>
      </c>
      <c r="AM5" s="42">
        <v>0</v>
      </c>
      <c r="AN5" s="42">
        <f>AL5+AM5</f>
        <v>0</v>
      </c>
      <c r="AO5" s="2"/>
      <c r="AP5" s="2"/>
      <c r="AQ5" s="2"/>
      <c r="AR5" s="292">
        <v>0.02</v>
      </c>
      <c r="AS5" s="295" t="s">
        <v>98</v>
      </c>
      <c r="AT5" s="295" t="s">
        <v>98</v>
      </c>
      <c r="AU5" s="295" t="s">
        <v>98</v>
      </c>
    </row>
    <row r="6" spans="1:47" ht="18" customHeight="1" thickBot="1" x14ac:dyDescent="0.25">
      <c r="B6" s="46"/>
      <c r="C6" s="47"/>
      <c r="D6" s="48">
        <f t="shared" ref="D6:S6" si="0">SUM(D4:D5)</f>
        <v>4388833139</v>
      </c>
      <c r="E6" s="48">
        <f t="shared" si="0"/>
        <v>940464244</v>
      </c>
      <c r="F6" s="48">
        <f>SUM(F4:F5)</f>
        <v>2718451594</v>
      </c>
      <c r="G6" s="49"/>
      <c r="H6" s="50">
        <f t="shared" si="0"/>
        <v>1859</v>
      </c>
      <c r="I6" s="51">
        <f t="shared" si="0"/>
        <v>940464244</v>
      </c>
      <c r="J6" s="51"/>
      <c r="K6" s="51">
        <f t="shared" si="0"/>
        <v>940464244</v>
      </c>
      <c r="L6" s="51">
        <f t="shared" si="0"/>
        <v>0</v>
      </c>
      <c r="M6" s="51">
        <f t="shared" si="0"/>
        <v>0</v>
      </c>
      <c r="N6" s="51">
        <f t="shared" si="0"/>
        <v>74701947</v>
      </c>
      <c r="O6" s="51">
        <f t="shared" si="0"/>
        <v>940464244</v>
      </c>
      <c r="P6" s="51"/>
      <c r="Q6" s="51">
        <f t="shared" si="0"/>
        <v>348872168</v>
      </c>
      <c r="R6" s="51">
        <f t="shared" si="0"/>
        <v>591592076</v>
      </c>
      <c r="S6" s="51">
        <f t="shared" si="0"/>
        <v>0</v>
      </c>
      <c r="T6" s="51">
        <f t="shared" ref="T6:U6" si="1">SUM(T4:T5)</f>
        <v>898378991</v>
      </c>
      <c r="U6" s="51">
        <f t="shared" si="1"/>
        <v>57029968</v>
      </c>
      <c r="V6" s="51">
        <f>SUM(V4:V5)</f>
        <v>955408959</v>
      </c>
      <c r="W6" s="51">
        <f>SUM(W4:W5)</f>
        <v>898378991</v>
      </c>
      <c r="X6" s="51">
        <f>SUM(X4:X5)</f>
        <v>49410845</v>
      </c>
      <c r="Y6" s="27">
        <f t="shared" ref="Y6:Y51" si="2">W6+X6</f>
        <v>947789836</v>
      </c>
      <c r="Z6" s="52">
        <f>SUM(Z4:Z5)</f>
        <v>0</v>
      </c>
      <c r="AA6" s="52">
        <f t="shared" ref="AA6:AB6" si="3">SUM(AA4:AA5)</f>
        <v>0</v>
      </c>
      <c r="AB6" s="52">
        <f t="shared" si="3"/>
        <v>0</v>
      </c>
      <c r="AC6" s="52">
        <f>SUM(AC4:AC5)</f>
        <v>0</v>
      </c>
      <c r="AD6" s="52">
        <f t="shared" ref="AD6:AE6" si="4">SUM(AD4:AD5)</f>
        <v>0</v>
      </c>
      <c r="AE6" s="52">
        <f t="shared" si="4"/>
        <v>0</v>
      </c>
      <c r="AF6" s="53">
        <f>SUM(AF4:AF5)</f>
        <v>822578391</v>
      </c>
      <c r="AG6" s="53">
        <f t="shared" ref="AG6:AH6" si="5">SUM(AG4:AG5)</f>
        <v>0</v>
      </c>
      <c r="AH6" s="53">
        <f t="shared" si="5"/>
        <v>822578391</v>
      </c>
      <c r="AI6" s="54">
        <f>SUM(AI4:AI5)</f>
        <v>0</v>
      </c>
      <c r="AJ6" s="55"/>
      <c r="AK6" s="56"/>
      <c r="AL6" s="51">
        <f>SUM(AL4:AL5)</f>
        <v>0</v>
      </c>
      <c r="AM6" s="51">
        <f>SUM(AM4:AM5)</f>
        <v>0</v>
      </c>
      <c r="AN6" s="57">
        <f>AL6+AM6</f>
        <v>0</v>
      </c>
      <c r="AO6" s="2"/>
      <c r="AP6" s="2"/>
      <c r="AQ6" s="2"/>
      <c r="AR6" s="299"/>
      <c r="AS6" s="300"/>
      <c r="AT6" s="299"/>
      <c r="AU6" s="299"/>
    </row>
    <row r="7" spans="1:47" ht="18" customHeight="1" thickBot="1" x14ac:dyDescent="0.25">
      <c r="A7" s="1">
        <v>3</v>
      </c>
      <c r="B7" s="17" t="s">
        <v>43</v>
      </c>
      <c r="C7" s="58" t="s">
        <v>44</v>
      </c>
      <c r="D7" s="20">
        <v>2428923312</v>
      </c>
      <c r="E7" s="20">
        <v>1040967134</v>
      </c>
      <c r="F7" s="337">
        <v>6847085826.1999998</v>
      </c>
      <c r="G7" s="21" t="s">
        <v>85</v>
      </c>
      <c r="H7" s="21">
        <v>647</v>
      </c>
      <c r="I7" s="22">
        <v>1040967134</v>
      </c>
      <c r="J7" s="23" t="e">
        <f>I7/#REF!</f>
        <v>#REF!</v>
      </c>
      <c r="K7" s="340">
        <f>5266296529+1740000000</f>
        <v>7006296529</v>
      </c>
      <c r="L7" s="343">
        <v>5684657586</v>
      </c>
      <c r="M7" s="24"/>
      <c r="N7" s="343">
        <v>180653053</v>
      </c>
      <c r="O7" s="346">
        <f>F7</f>
        <v>6847085826.1999998</v>
      </c>
      <c r="P7" s="25"/>
      <c r="Q7" s="349">
        <v>613768857</v>
      </c>
      <c r="R7" s="343">
        <v>1040784633</v>
      </c>
      <c r="S7" s="59">
        <f>'[2]CUADRO COLEGIOS'!$E$7</f>
        <v>205063608.30198562</v>
      </c>
      <c r="T7" s="19">
        <v>483878457</v>
      </c>
      <c r="U7" s="27">
        <v>29355639</v>
      </c>
      <c r="V7" s="27">
        <f t="shared" ref="V7:V15" si="6">T7+U7</f>
        <v>513234096</v>
      </c>
      <c r="W7" s="27">
        <v>0</v>
      </c>
      <c r="X7" s="27">
        <v>0</v>
      </c>
      <c r="Y7" s="27">
        <f t="shared" si="2"/>
        <v>0</v>
      </c>
      <c r="Z7" s="60">
        <v>0</v>
      </c>
      <c r="AA7" s="60">
        <v>0</v>
      </c>
      <c r="AB7" s="60">
        <f t="shared" ref="AB7:AB15" si="7">Z7+AA7</f>
        <v>0</v>
      </c>
      <c r="AC7" s="61">
        <v>0</v>
      </c>
      <c r="AD7" s="60">
        <v>0</v>
      </c>
      <c r="AE7" s="60">
        <f>SUM(AC7:AD7)</f>
        <v>0</v>
      </c>
      <c r="AF7" s="28">
        <f>AG7+AH7</f>
        <v>0</v>
      </c>
      <c r="AG7" s="29"/>
      <c r="AH7" s="29"/>
      <c r="AI7" s="62">
        <v>0</v>
      </c>
      <c r="AJ7" s="333">
        <v>180653053</v>
      </c>
      <c r="AK7" s="335">
        <v>852392095</v>
      </c>
      <c r="AL7" s="27">
        <v>0</v>
      </c>
      <c r="AM7" s="27">
        <v>0</v>
      </c>
      <c r="AN7" s="63">
        <f t="shared" ref="AN7:AN15" si="8">AL7+AM7</f>
        <v>0</v>
      </c>
      <c r="AO7" s="2"/>
      <c r="AP7" s="2"/>
      <c r="AQ7" s="2"/>
      <c r="AR7" s="292">
        <v>0.62</v>
      </c>
      <c r="AS7" s="296">
        <v>43798</v>
      </c>
      <c r="AT7" s="294">
        <v>43850</v>
      </c>
      <c r="AU7" s="294">
        <v>43995</v>
      </c>
    </row>
    <row r="8" spans="1:47" ht="18" customHeight="1" thickBot="1" x14ac:dyDescent="0.25">
      <c r="A8" s="1">
        <v>4</v>
      </c>
      <c r="B8" s="64" t="s">
        <v>43</v>
      </c>
      <c r="C8" s="65" t="s">
        <v>45</v>
      </c>
      <c r="D8" s="67">
        <v>2066385154</v>
      </c>
      <c r="E8" s="67">
        <v>423031421</v>
      </c>
      <c r="F8" s="338"/>
      <c r="G8" s="68" t="s">
        <v>85</v>
      </c>
      <c r="H8" s="68">
        <v>846</v>
      </c>
      <c r="I8" s="69">
        <v>423031421</v>
      </c>
      <c r="J8" s="70" t="e">
        <f>I8/#REF!</f>
        <v>#REF!</v>
      </c>
      <c r="K8" s="341"/>
      <c r="L8" s="344"/>
      <c r="M8" s="71"/>
      <c r="N8" s="344"/>
      <c r="O8" s="347"/>
      <c r="P8" s="72" t="e">
        <f>O8/#REF!</f>
        <v>#REF!</v>
      </c>
      <c r="Q8" s="350"/>
      <c r="R8" s="344"/>
      <c r="S8" s="73">
        <v>0</v>
      </c>
      <c r="T8" s="66">
        <v>603736977</v>
      </c>
      <c r="U8" s="74">
        <v>39245438</v>
      </c>
      <c r="V8" s="74">
        <f t="shared" si="6"/>
        <v>642982415</v>
      </c>
      <c r="W8" s="74">
        <v>0</v>
      </c>
      <c r="X8" s="74">
        <v>0</v>
      </c>
      <c r="Y8" s="27">
        <f t="shared" si="2"/>
        <v>0</v>
      </c>
      <c r="Z8" s="75">
        <v>0</v>
      </c>
      <c r="AA8" s="75">
        <v>0</v>
      </c>
      <c r="AB8" s="75">
        <f t="shared" si="7"/>
        <v>0</v>
      </c>
      <c r="AC8" s="75">
        <v>0</v>
      </c>
      <c r="AD8" s="75">
        <v>0</v>
      </c>
      <c r="AE8" s="75">
        <f>SUM(AC8:AD8)</f>
        <v>0</v>
      </c>
      <c r="AF8" s="76">
        <f>'[1]URBANISMO - 10 DE OCTUBRE 2018'!E8</f>
        <v>677900748.20000005</v>
      </c>
      <c r="AG8" s="75"/>
      <c r="AH8" s="75"/>
      <c r="AI8" s="77">
        <v>0</v>
      </c>
      <c r="AJ8" s="354"/>
      <c r="AK8" s="355"/>
      <c r="AL8" s="74">
        <v>0</v>
      </c>
      <c r="AM8" s="74">
        <v>0</v>
      </c>
      <c r="AN8" s="74">
        <f t="shared" si="8"/>
        <v>0</v>
      </c>
      <c r="AO8" s="2"/>
      <c r="AP8" s="2"/>
      <c r="AQ8" s="2"/>
      <c r="AR8" s="292">
        <v>0.66</v>
      </c>
      <c r="AS8" s="296">
        <v>43812</v>
      </c>
      <c r="AT8" s="294">
        <v>43864</v>
      </c>
      <c r="AU8" s="294">
        <v>43996</v>
      </c>
    </row>
    <row r="9" spans="1:47" ht="18" customHeight="1" thickBot="1" x14ac:dyDescent="0.25">
      <c r="A9" s="1">
        <v>5</v>
      </c>
      <c r="B9" s="64" t="s">
        <v>43</v>
      </c>
      <c r="C9" s="65" t="s">
        <v>46</v>
      </c>
      <c r="D9" s="67">
        <v>2993666995</v>
      </c>
      <c r="E9" s="67">
        <v>1283000141</v>
      </c>
      <c r="F9" s="338"/>
      <c r="G9" s="68" t="s">
        <v>86</v>
      </c>
      <c r="H9" s="68">
        <v>1723</v>
      </c>
      <c r="I9" s="69">
        <v>1283000141</v>
      </c>
      <c r="J9" s="70" t="e">
        <f>I9/#REF!</f>
        <v>#REF!</v>
      </c>
      <c r="K9" s="341"/>
      <c r="L9" s="344"/>
      <c r="M9" s="71"/>
      <c r="N9" s="344"/>
      <c r="O9" s="347"/>
      <c r="P9" s="72"/>
      <c r="Q9" s="350"/>
      <c r="R9" s="344"/>
      <c r="S9" s="73">
        <f>'[2]CUADRO COLEGIOS'!$E$16</f>
        <v>36773995.979166806</v>
      </c>
      <c r="T9" s="66">
        <v>364974674</v>
      </c>
      <c r="U9" s="74">
        <v>22831086</v>
      </c>
      <c r="V9" s="74">
        <f t="shared" si="6"/>
        <v>387805760</v>
      </c>
      <c r="W9" s="74">
        <v>0</v>
      </c>
      <c r="X9" s="74">
        <v>0</v>
      </c>
      <c r="Y9" s="27">
        <f t="shared" si="2"/>
        <v>0</v>
      </c>
      <c r="Z9" s="75">
        <v>0</v>
      </c>
      <c r="AA9" s="75">
        <v>0</v>
      </c>
      <c r="AB9" s="75">
        <f t="shared" si="7"/>
        <v>0</v>
      </c>
      <c r="AC9" s="74">
        <v>0</v>
      </c>
      <c r="AD9" s="74">
        <v>0</v>
      </c>
      <c r="AE9" s="74">
        <f>SUM(AC9:AD9)</f>
        <v>0</v>
      </c>
      <c r="AF9" s="78">
        <f t="shared" ref="AF9:AF36" si="9">AG9+AH9</f>
        <v>0</v>
      </c>
      <c r="AG9" s="79"/>
      <c r="AH9" s="79"/>
      <c r="AI9" s="80">
        <f>'[1]URBANISMO - 10 DE OCTUBRE 2018'!H9</f>
        <v>190179293.20000002</v>
      </c>
      <c r="AJ9" s="354"/>
      <c r="AK9" s="355"/>
      <c r="AL9" s="74">
        <v>0</v>
      </c>
      <c r="AM9" s="74">
        <v>0</v>
      </c>
      <c r="AN9" s="74">
        <f t="shared" si="8"/>
        <v>0</v>
      </c>
      <c r="AO9" s="2"/>
      <c r="AP9" s="2"/>
      <c r="AQ9" s="2"/>
      <c r="AR9" s="292">
        <v>0.41</v>
      </c>
      <c r="AS9" s="295" t="s">
        <v>98</v>
      </c>
      <c r="AT9" s="295" t="s">
        <v>98</v>
      </c>
      <c r="AU9" s="295" t="s">
        <v>98</v>
      </c>
    </row>
    <row r="10" spans="1:47" ht="18" customHeight="1" thickBot="1" x14ac:dyDescent="0.25">
      <c r="A10" s="1">
        <v>6</v>
      </c>
      <c r="B10" s="64" t="s">
        <v>43</v>
      </c>
      <c r="C10" s="65" t="s">
        <v>47</v>
      </c>
      <c r="D10" s="67">
        <v>1668256147</v>
      </c>
      <c r="E10" s="67">
        <v>714966920</v>
      </c>
      <c r="F10" s="338"/>
      <c r="G10" s="68" t="s">
        <v>85</v>
      </c>
      <c r="H10" s="68">
        <v>306</v>
      </c>
      <c r="I10" s="69">
        <v>714966920</v>
      </c>
      <c r="J10" s="70" t="e">
        <f>I10/#REF!</f>
        <v>#REF!</v>
      </c>
      <c r="K10" s="341"/>
      <c r="L10" s="344"/>
      <c r="M10" s="71"/>
      <c r="N10" s="344"/>
      <c r="O10" s="347"/>
      <c r="P10" s="72"/>
      <c r="Q10" s="350"/>
      <c r="R10" s="344"/>
      <c r="S10" s="73">
        <v>0</v>
      </c>
      <c r="T10" s="66">
        <v>212070823</v>
      </c>
      <c r="U10" s="74">
        <v>16768237</v>
      </c>
      <c r="V10" s="74">
        <f t="shared" si="6"/>
        <v>228839060</v>
      </c>
      <c r="W10" s="74">
        <v>0</v>
      </c>
      <c r="X10" s="74">
        <v>0</v>
      </c>
      <c r="Y10" s="27">
        <f t="shared" si="2"/>
        <v>0</v>
      </c>
      <c r="Z10" s="75">
        <v>0</v>
      </c>
      <c r="AA10" s="75">
        <v>0</v>
      </c>
      <c r="AB10" s="75">
        <f t="shared" si="7"/>
        <v>0</v>
      </c>
      <c r="AC10" s="74">
        <v>0</v>
      </c>
      <c r="AD10" s="74">
        <v>0</v>
      </c>
      <c r="AE10" s="74">
        <f>SUM(AC10:AD10)</f>
        <v>0</v>
      </c>
      <c r="AF10" s="78">
        <f t="shared" si="9"/>
        <v>0</v>
      </c>
      <c r="AG10" s="79"/>
      <c r="AH10" s="79"/>
      <c r="AI10" s="80">
        <v>0</v>
      </c>
      <c r="AJ10" s="354"/>
      <c r="AK10" s="355"/>
      <c r="AL10" s="74">
        <v>0</v>
      </c>
      <c r="AM10" s="74">
        <v>0</v>
      </c>
      <c r="AN10" s="74">
        <f t="shared" si="8"/>
        <v>0</v>
      </c>
      <c r="AO10" s="2"/>
      <c r="AP10" s="2"/>
      <c r="AQ10" s="2"/>
      <c r="AR10" s="292">
        <v>0.63</v>
      </c>
      <c r="AS10" s="296">
        <v>43812</v>
      </c>
      <c r="AT10" s="294">
        <v>43864</v>
      </c>
      <c r="AU10" s="294">
        <v>43995</v>
      </c>
    </row>
    <row r="11" spans="1:47" ht="18" customHeight="1" thickBot="1" x14ac:dyDescent="0.25">
      <c r="A11" s="1">
        <v>7</v>
      </c>
      <c r="B11" s="64" t="s">
        <v>43</v>
      </c>
      <c r="C11" s="65" t="s">
        <v>48</v>
      </c>
      <c r="D11" s="67">
        <v>1347457699</v>
      </c>
      <c r="E11" s="67">
        <v>577481871</v>
      </c>
      <c r="F11" s="338"/>
      <c r="G11" s="68" t="s">
        <v>87</v>
      </c>
      <c r="H11" s="68">
        <v>1412</v>
      </c>
      <c r="I11" s="69">
        <v>577481871</v>
      </c>
      <c r="J11" s="70" t="e">
        <f>I11/#REF!</f>
        <v>#REF!</v>
      </c>
      <c r="K11" s="341"/>
      <c r="L11" s="344"/>
      <c r="M11" s="71"/>
      <c r="N11" s="344"/>
      <c r="O11" s="347"/>
      <c r="P11" s="72"/>
      <c r="Q11" s="350"/>
      <c r="R11" s="344"/>
      <c r="S11" s="81">
        <v>0</v>
      </c>
      <c r="T11" s="66">
        <v>263251999</v>
      </c>
      <c r="U11" s="74">
        <v>23027427</v>
      </c>
      <c r="V11" s="74">
        <f t="shared" si="6"/>
        <v>286279426</v>
      </c>
      <c r="W11" s="74">
        <v>0</v>
      </c>
      <c r="X11" s="74">
        <v>0</v>
      </c>
      <c r="Y11" s="27">
        <f t="shared" si="2"/>
        <v>0</v>
      </c>
      <c r="Z11" s="75">
        <v>0</v>
      </c>
      <c r="AA11" s="75">
        <v>0</v>
      </c>
      <c r="AB11" s="75">
        <f t="shared" si="7"/>
        <v>0</v>
      </c>
      <c r="AC11" s="82">
        <v>0</v>
      </c>
      <c r="AD11" s="82">
        <v>0</v>
      </c>
      <c r="AE11" s="74">
        <f t="shared" ref="AE11:AE14" si="10">SUM(AC11:AD11)</f>
        <v>0</v>
      </c>
      <c r="AF11" s="78">
        <f t="shared" si="9"/>
        <v>0</v>
      </c>
      <c r="AG11" s="83"/>
      <c r="AH11" s="83"/>
      <c r="AI11" s="84">
        <v>0</v>
      </c>
      <c r="AJ11" s="354"/>
      <c r="AK11" s="355"/>
      <c r="AL11" s="74">
        <v>0</v>
      </c>
      <c r="AM11" s="74">
        <v>0</v>
      </c>
      <c r="AN11" s="74">
        <f t="shared" si="8"/>
        <v>0</v>
      </c>
      <c r="AO11" s="2"/>
      <c r="AP11" s="2"/>
      <c r="AQ11" s="2"/>
      <c r="AR11" s="292">
        <v>0</v>
      </c>
      <c r="AS11" s="296">
        <v>43835</v>
      </c>
      <c r="AT11" s="294">
        <v>43887</v>
      </c>
      <c r="AU11" s="294">
        <v>44172</v>
      </c>
    </row>
    <row r="12" spans="1:47" ht="18" customHeight="1" thickBot="1" x14ac:dyDescent="0.25">
      <c r="A12" s="1">
        <v>8</v>
      </c>
      <c r="B12" s="64" t="s">
        <v>43</v>
      </c>
      <c r="C12" s="65" t="s">
        <v>49</v>
      </c>
      <c r="D12" s="67">
        <v>945519241</v>
      </c>
      <c r="E12" s="67">
        <v>405222532</v>
      </c>
      <c r="F12" s="338"/>
      <c r="G12" s="68" t="s">
        <v>85</v>
      </c>
      <c r="H12" s="68">
        <v>344</v>
      </c>
      <c r="I12" s="69">
        <v>405222532</v>
      </c>
      <c r="J12" s="70" t="e">
        <f>I12/#REF!</f>
        <v>#REF!</v>
      </c>
      <c r="K12" s="341"/>
      <c r="L12" s="344"/>
      <c r="M12" s="71"/>
      <c r="N12" s="344"/>
      <c r="O12" s="347"/>
      <c r="P12" s="72"/>
      <c r="Q12" s="350"/>
      <c r="R12" s="344"/>
      <c r="S12" s="73">
        <f>'[2]CUADRO COLEGIOS'!$E$13</f>
        <v>71267102.087072745</v>
      </c>
      <c r="T12" s="66">
        <v>303417451</v>
      </c>
      <c r="U12" s="74">
        <v>26113000</v>
      </c>
      <c r="V12" s="74">
        <f t="shared" si="6"/>
        <v>329530451</v>
      </c>
      <c r="W12" s="74">
        <v>0</v>
      </c>
      <c r="X12" s="74">
        <v>0</v>
      </c>
      <c r="Y12" s="27">
        <f t="shared" si="2"/>
        <v>0</v>
      </c>
      <c r="Z12" s="75">
        <v>0</v>
      </c>
      <c r="AA12" s="75">
        <v>0</v>
      </c>
      <c r="AB12" s="75">
        <f t="shared" si="7"/>
        <v>0</v>
      </c>
      <c r="AC12" s="75">
        <v>0</v>
      </c>
      <c r="AD12" s="75">
        <v>0</v>
      </c>
      <c r="AE12" s="74">
        <f t="shared" si="10"/>
        <v>0</v>
      </c>
      <c r="AF12" s="78">
        <f t="shared" si="9"/>
        <v>376459490</v>
      </c>
      <c r="AG12" s="79"/>
      <c r="AH12" s="79">
        <v>376459490</v>
      </c>
      <c r="AI12" s="80">
        <v>0</v>
      </c>
      <c r="AJ12" s="354"/>
      <c r="AK12" s="355"/>
      <c r="AL12" s="74">
        <v>0</v>
      </c>
      <c r="AM12" s="74">
        <v>0</v>
      </c>
      <c r="AN12" s="74">
        <f t="shared" si="8"/>
        <v>0</v>
      </c>
      <c r="AO12" s="2"/>
      <c r="AP12" s="2"/>
      <c r="AQ12" s="2"/>
      <c r="AR12" s="292">
        <v>0.62</v>
      </c>
      <c r="AS12" s="296">
        <v>43798</v>
      </c>
      <c r="AT12" s="294">
        <v>43850</v>
      </c>
      <c r="AU12" s="294">
        <v>43972</v>
      </c>
    </row>
    <row r="13" spans="1:47" ht="18" customHeight="1" thickBot="1" x14ac:dyDescent="0.25">
      <c r="A13" s="1">
        <v>9</v>
      </c>
      <c r="B13" s="64" t="s">
        <v>43</v>
      </c>
      <c r="C13" s="65" t="s">
        <v>50</v>
      </c>
      <c r="D13" s="67">
        <v>3107785890</v>
      </c>
      <c r="E13" s="67">
        <v>1331908239</v>
      </c>
      <c r="F13" s="338"/>
      <c r="G13" s="68" t="s">
        <v>85</v>
      </c>
      <c r="H13" s="68">
        <v>670</v>
      </c>
      <c r="I13" s="69">
        <v>1331908239</v>
      </c>
      <c r="J13" s="70" t="e">
        <f>I13/#REF!</f>
        <v>#REF!</v>
      </c>
      <c r="K13" s="341"/>
      <c r="L13" s="344"/>
      <c r="M13" s="71"/>
      <c r="N13" s="344"/>
      <c r="O13" s="347"/>
      <c r="P13" s="72"/>
      <c r="Q13" s="350"/>
      <c r="R13" s="344"/>
      <c r="S13" s="73">
        <f>'[2]CUADRO COLEGIOS'!$E$23</f>
        <v>103295627.08701278</v>
      </c>
      <c r="T13" s="66">
        <v>105357763</v>
      </c>
      <c r="U13" s="74">
        <v>8585248</v>
      </c>
      <c r="V13" s="74">
        <f t="shared" si="6"/>
        <v>113943011</v>
      </c>
      <c r="W13" s="74">
        <v>0</v>
      </c>
      <c r="X13" s="74">
        <v>0</v>
      </c>
      <c r="Y13" s="27">
        <f t="shared" si="2"/>
        <v>0</v>
      </c>
      <c r="Z13" s="75">
        <v>0</v>
      </c>
      <c r="AA13" s="75">
        <v>0</v>
      </c>
      <c r="AB13" s="85">
        <f t="shared" si="7"/>
        <v>0</v>
      </c>
      <c r="AC13" s="86">
        <v>0</v>
      </c>
      <c r="AD13" s="87">
        <v>0</v>
      </c>
      <c r="AE13" s="74">
        <f t="shared" si="10"/>
        <v>0</v>
      </c>
      <c r="AF13" s="78">
        <f t="shared" si="9"/>
        <v>0</v>
      </c>
      <c r="AG13" s="79"/>
      <c r="AH13" s="79"/>
      <c r="AI13" s="80">
        <v>0</v>
      </c>
      <c r="AJ13" s="354"/>
      <c r="AK13" s="355"/>
      <c r="AL13" s="74">
        <v>0</v>
      </c>
      <c r="AM13" s="74">
        <v>0</v>
      </c>
      <c r="AN13" s="74">
        <f t="shared" si="8"/>
        <v>0</v>
      </c>
      <c r="AO13" s="2"/>
      <c r="AP13" s="2"/>
      <c r="AQ13" s="2"/>
      <c r="AR13" s="292">
        <v>0.02</v>
      </c>
      <c r="AS13" s="296">
        <v>43835</v>
      </c>
      <c r="AT13" s="294">
        <v>43887</v>
      </c>
      <c r="AU13" s="294">
        <v>43934</v>
      </c>
    </row>
    <row r="14" spans="1:47" ht="18" customHeight="1" thickBot="1" x14ac:dyDescent="0.25">
      <c r="A14" s="88">
        <v>10</v>
      </c>
      <c r="B14" s="89" t="s">
        <v>43</v>
      </c>
      <c r="C14" s="65" t="s">
        <v>51</v>
      </c>
      <c r="D14" s="67">
        <v>4714021532</v>
      </c>
      <c r="E14" s="67">
        <v>2020294942</v>
      </c>
      <c r="F14" s="338"/>
      <c r="G14" s="68" t="s">
        <v>85</v>
      </c>
      <c r="H14" s="68">
        <v>1712</v>
      </c>
      <c r="I14" s="69">
        <v>2020294942</v>
      </c>
      <c r="J14" s="70" t="e">
        <f>I14/#REF!</f>
        <v>#REF!</v>
      </c>
      <c r="K14" s="341"/>
      <c r="L14" s="344"/>
      <c r="M14" s="71"/>
      <c r="N14" s="344"/>
      <c r="O14" s="347"/>
      <c r="P14" s="72"/>
      <c r="Q14" s="350"/>
      <c r="R14" s="344"/>
      <c r="S14" s="81">
        <f>'[2]CUADRO COLEGIOS'!$E$4</f>
        <v>150018592.11167753</v>
      </c>
      <c r="T14" s="66">
        <v>339211360</v>
      </c>
      <c r="U14" s="74">
        <v>19556049</v>
      </c>
      <c r="V14" s="74">
        <f t="shared" si="6"/>
        <v>358767409</v>
      </c>
      <c r="W14" s="74">
        <v>0</v>
      </c>
      <c r="X14" s="74">
        <v>0</v>
      </c>
      <c r="Y14" s="27">
        <f t="shared" si="2"/>
        <v>0</v>
      </c>
      <c r="Z14" s="75">
        <v>0</v>
      </c>
      <c r="AA14" s="75">
        <v>0</v>
      </c>
      <c r="AB14" s="86">
        <f t="shared" si="7"/>
        <v>0</v>
      </c>
      <c r="AC14" s="86">
        <v>0</v>
      </c>
      <c r="AD14" s="86">
        <v>0</v>
      </c>
      <c r="AE14" s="74">
        <f t="shared" si="10"/>
        <v>0</v>
      </c>
      <c r="AF14" s="78">
        <f t="shared" si="9"/>
        <v>444713638</v>
      </c>
      <c r="AG14" s="83"/>
      <c r="AH14" s="83">
        <v>444713638</v>
      </c>
      <c r="AI14" s="84">
        <v>0</v>
      </c>
      <c r="AJ14" s="354"/>
      <c r="AK14" s="355"/>
      <c r="AL14" s="74">
        <v>0</v>
      </c>
      <c r="AM14" s="74">
        <v>0</v>
      </c>
      <c r="AN14" s="74">
        <f t="shared" si="8"/>
        <v>0</v>
      </c>
      <c r="AO14" s="2"/>
      <c r="AP14" s="2"/>
      <c r="AQ14" s="2"/>
      <c r="AR14" s="292">
        <v>0.46</v>
      </c>
      <c r="AS14" s="296">
        <v>43812</v>
      </c>
      <c r="AT14" s="294">
        <v>43864</v>
      </c>
      <c r="AU14" s="294">
        <v>44096</v>
      </c>
    </row>
    <row r="15" spans="1:47" ht="18" customHeight="1" thickBot="1" x14ac:dyDescent="0.25">
      <c r="A15" s="1">
        <v>11</v>
      </c>
      <c r="B15" s="90" t="s">
        <v>43</v>
      </c>
      <c r="C15" s="91" t="s">
        <v>52</v>
      </c>
      <c r="D15" s="35">
        <v>5253066763</v>
      </c>
      <c r="E15" s="35">
        <v>2251314327</v>
      </c>
      <c r="F15" s="339"/>
      <c r="G15" s="36" t="s">
        <v>87</v>
      </c>
      <c r="H15" s="36">
        <v>1412</v>
      </c>
      <c r="I15" s="37">
        <v>2251314327</v>
      </c>
      <c r="J15" s="38" t="e">
        <f>I15/#REF!</f>
        <v>#REF!</v>
      </c>
      <c r="K15" s="342"/>
      <c r="L15" s="345"/>
      <c r="M15" s="39"/>
      <c r="N15" s="345"/>
      <c r="O15" s="348"/>
      <c r="P15" s="40"/>
      <c r="Q15" s="351"/>
      <c r="R15" s="345"/>
      <c r="S15" s="92">
        <f>'[2]CUADRO COLEGIOS'!$E$24</f>
        <v>14373813.614598995</v>
      </c>
      <c r="T15" s="34">
        <v>60340417</v>
      </c>
      <c r="U15" s="42">
        <v>5783929</v>
      </c>
      <c r="V15" s="42">
        <f t="shared" si="6"/>
        <v>66124346</v>
      </c>
      <c r="W15" s="42">
        <v>0</v>
      </c>
      <c r="X15" s="42">
        <v>0</v>
      </c>
      <c r="Y15" s="27">
        <f t="shared" si="2"/>
        <v>0</v>
      </c>
      <c r="Z15" s="93">
        <v>0</v>
      </c>
      <c r="AA15" s="93">
        <v>0</v>
      </c>
      <c r="AB15" s="93">
        <f t="shared" si="7"/>
        <v>0</v>
      </c>
      <c r="AC15" s="93">
        <v>0</v>
      </c>
      <c r="AD15" s="93">
        <v>0</v>
      </c>
      <c r="AE15" s="93">
        <f>AC15+AD15</f>
        <v>0</v>
      </c>
      <c r="AF15" s="94">
        <f>'[1]URBANISMO - 10 DE OCTUBRE 2018'!E15</f>
        <v>765952486</v>
      </c>
      <c r="AG15" s="44">
        <v>0</v>
      </c>
      <c r="AH15" s="44">
        <v>0</v>
      </c>
      <c r="AI15" s="95">
        <v>0</v>
      </c>
      <c r="AJ15" s="334"/>
      <c r="AK15" s="336"/>
      <c r="AL15" s="42">
        <v>0</v>
      </c>
      <c r="AM15" s="42">
        <v>0</v>
      </c>
      <c r="AN15" s="96">
        <f t="shared" si="8"/>
        <v>0</v>
      </c>
      <c r="AO15" s="2"/>
      <c r="AP15" s="2"/>
      <c r="AQ15" s="2"/>
      <c r="AR15" s="292">
        <v>0</v>
      </c>
      <c r="AS15" s="295" t="s">
        <v>98</v>
      </c>
      <c r="AT15" s="295" t="s">
        <v>98</v>
      </c>
      <c r="AU15" s="295" t="s">
        <v>98</v>
      </c>
    </row>
    <row r="16" spans="1:47" ht="18" customHeight="1" thickBot="1" x14ac:dyDescent="0.25">
      <c r="B16" s="97"/>
      <c r="C16" s="98"/>
      <c r="D16" s="99">
        <v>24525082733</v>
      </c>
      <c r="E16" s="99">
        <v>10048187527</v>
      </c>
      <c r="F16" s="99">
        <v>6847085826.1999998</v>
      </c>
      <c r="G16" s="100"/>
      <c r="H16" s="100">
        <f t="shared" ref="H16:U16" si="11">SUM(H7:H15)</f>
        <v>9072</v>
      </c>
      <c r="I16" s="101">
        <f t="shared" si="11"/>
        <v>10048187527</v>
      </c>
      <c r="J16" s="101"/>
      <c r="K16" s="101">
        <f t="shared" si="11"/>
        <v>7006296529</v>
      </c>
      <c r="L16" s="101">
        <f t="shared" si="11"/>
        <v>5684657586</v>
      </c>
      <c r="M16" s="101">
        <f t="shared" si="11"/>
        <v>0</v>
      </c>
      <c r="N16" s="101">
        <f t="shared" si="11"/>
        <v>180653053</v>
      </c>
      <c r="O16" s="101">
        <f t="shared" si="11"/>
        <v>6847085826.1999998</v>
      </c>
      <c r="P16" s="101"/>
      <c r="Q16" s="101">
        <f t="shared" si="11"/>
        <v>613768857</v>
      </c>
      <c r="R16" s="101">
        <f t="shared" si="11"/>
        <v>1040784633</v>
      </c>
      <c r="S16" s="101">
        <f t="shared" si="11"/>
        <v>580792739.1815145</v>
      </c>
      <c r="T16" s="101">
        <f t="shared" si="11"/>
        <v>2736239921</v>
      </c>
      <c r="U16" s="101">
        <f t="shared" si="11"/>
        <v>191266053</v>
      </c>
      <c r="V16" s="101">
        <f>SUM(V7:V15)</f>
        <v>2927505974</v>
      </c>
      <c r="W16" s="101">
        <f>SUM(W7:W15)</f>
        <v>0</v>
      </c>
      <c r="X16" s="101">
        <f>SUM(X7:X15)</f>
        <v>0</v>
      </c>
      <c r="Y16" s="27">
        <f t="shared" si="2"/>
        <v>0</v>
      </c>
      <c r="Z16" s="102">
        <f>SUM(Z7:Z15)</f>
        <v>0</v>
      </c>
      <c r="AA16" s="102">
        <f t="shared" ref="AA16:AB16" si="12">SUM(AA7:AA15)</f>
        <v>0</v>
      </c>
      <c r="AB16" s="102">
        <f t="shared" si="12"/>
        <v>0</v>
      </c>
      <c r="AC16" s="102">
        <f>SUM(AC7:AC15)</f>
        <v>0</v>
      </c>
      <c r="AD16" s="102">
        <f t="shared" ref="AD16:AE16" si="13">SUM(AD7:AD15)</f>
        <v>0</v>
      </c>
      <c r="AE16" s="102">
        <f t="shared" si="13"/>
        <v>0</v>
      </c>
      <c r="AF16" s="103">
        <f>SUM(AF7:AF15)</f>
        <v>2265026362.1999998</v>
      </c>
      <c r="AG16" s="103">
        <f t="shared" ref="AG16:AH16" si="14">SUM(AG7:AG15)</f>
        <v>0</v>
      </c>
      <c r="AH16" s="103">
        <f t="shared" si="14"/>
        <v>821173128</v>
      </c>
      <c r="AI16" s="104">
        <f>SUM(AI7:AI15)</f>
        <v>190179293.20000002</v>
      </c>
      <c r="AJ16" s="105"/>
      <c r="AK16" s="106"/>
      <c r="AL16" s="101">
        <f>SUM(AL7:AL15)</f>
        <v>0</v>
      </c>
      <c r="AM16" s="101">
        <f>SUM(AM7:AM15)</f>
        <v>0</v>
      </c>
      <c r="AN16" s="101">
        <f>SUM(AN7:AN15)</f>
        <v>0</v>
      </c>
      <c r="AO16" s="2"/>
      <c r="AP16" s="2"/>
      <c r="AQ16" s="2"/>
      <c r="AR16" s="299"/>
      <c r="AS16" s="300"/>
      <c r="AT16" s="299"/>
      <c r="AU16" s="299"/>
    </row>
    <row r="17" spans="1:47" ht="18" customHeight="1" thickBot="1" x14ac:dyDescent="0.25">
      <c r="A17" s="1">
        <v>12</v>
      </c>
      <c r="B17" s="107" t="s">
        <v>53</v>
      </c>
      <c r="C17" s="108" t="s">
        <v>54</v>
      </c>
      <c r="D17" s="110">
        <v>2788592608</v>
      </c>
      <c r="E17" s="110">
        <v>597555559</v>
      </c>
      <c r="F17" s="20">
        <v>1283363732.5295951</v>
      </c>
      <c r="G17" s="111" t="s">
        <v>85</v>
      </c>
      <c r="H17" s="111">
        <v>480</v>
      </c>
      <c r="I17" s="112">
        <v>597555559</v>
      </c>
      <c r="J17" s="113" t="e">
        <f>I17/#REF!</f>
        <v>#REF!</v>
      </c>
      <c r="K17" s="114">
        <v>653911396</v>
      </c>
      <c r="L17" s="115"/>
      <c r="M17" s="115"/>
      <c r="N17" s="116">
        <v>52243521</v>
      </c>
      <c r="O17" s="112">
        <v>597555559</v>
      </c>
      <c r="P17" s="117" t="e">
        <f>O17/#REF!</f>
        <v>#REF!</v>
      </c>
      <c r="Q17" s="118">
        <v>221667655</v>
      </c>
      <c r="R17" s="112">
        <v>375887904</v>
      </c>
      <c r="S17" s="119">
        <f>'[2]CUADRO COLEGIOS'!$E$3</f>
        <v>515231381.52959514</v>
      </c>
      <c r="T17" s="109">
        <v>141377394</v>
      </c>
      <c r="U17" s="120">
        <v>29199398</v>
      </c>
      <c r="V17" s="120">
        <f>T17+U17</f>
        <v>170576792</v>
      </c>
      <c r="W17" s="109">
        <f>461464385-T17+29135614</f>
        <v>349222605</v>
      </c>
      <c r="X17" s="120">
        <f>23073219-U17+4370342</f>
        <v>-1755837</v>
      </c>
      <c r="Y17" s="27">
        <f t="shared" si="2"/>
        <v>347466768</v>
      </c>
      <c r="Z17" s="121">
        <v>0</v>
      </c>
      <c r="AA17" s="121">
        <v>0</v>
      </c>
      <c r="AB17" s="121">
        <f>Z17+AA17</f>
        <v>0</v>
      </c>
      <c r="AC17" s="122">
        <f>654203981+80247819</f>
        <v>734451800</v>
      </c>
      <c r="AD17" s="122">
        <v>36772590</v>
      </c>
      <c r="AE17" s="122">
        <f>SUM(AC17:AD17)</f>
        <v>771224390</v>
      </c>
      <c r="AF17" s="123">
        <f t="shared" si="9"/>
        <v>0</v>
      </c>
      <c r="AG17" s="122"/>
      <c r="AH17" s="122"/>
      <c r="AI17" s="124">
        <f>'[1]URBANISMO - 10 DE OCTUBRE 2018'!H17</f>
        <v>400000000</v>
      </c>
      <c r="AJ17" s="125">
        <v>52243521</v>
      </c>
      <c r="AK17" s="126">
        <v>62996887</v>
      </c>
      <c r="AL17" s="109">
        <f>W17+AC17+AI17</f>
        <v>1483674405</v>
      </c>
      <c r="AM17" s="120">
        <f>X17+AD17</f>
        <v>35016753</v>
      </c>
      <c r="AN17" s="42">
        <f t="shared" ref="AN17" si="15">AL17+AM17</f>
        <v>1518691158</v>
      </c>
      <c r="AO17" s="2"/>
      <c r="AP17" s="2"/>
      <c r="AQ17" s="2"/>
      <c r="AR17" s="292">
        <v>0.21</v>
      </c>
      <c r="AS17" s="295" t="s">
        <v>98</v>
      </c>
      <c r="AT17" s="295" t="s">
        <v>98</v>
      </c>
      <c r="AU17" s="295" t="s">
        <v>98</v>
      </c>
    </row>
    <row r="18" spans="1:47" ht="18" customHeight="1" thickBot="1" x14ac:dyDescent="0.25">
      <c r="B18" s="127"/>
      <c r="C18" s="128"/>
      <c r="D18" s="130">
        <v>2788592608</v>
      </c>
      <c r="E18" s="130">
        <v>597555559</v>
      </c>
      <c r="F18" s="130">
        <v>1283363732.5295951</v>
      </c>
      <c r="G18" s="131"/>
      <c r="H18" s="131">
        <f t="shared" ref="H18:U18" si="16">SUM(H17)</f>
        <v>480</v>
      </c>
      <c r="I18" s="132">
        <f t="shared" si="16"/>
        <v>597555559</v>
      </c>
      <c r="J18" s="132"/>
      <c r="K18" s="132">
        <f t="shared" si="16"/>
        <v>653911396</v>
      </c>
      <c r="L18" s="132">
        <f t="shared" si="16"/>
        <v>0</v>
      </c>
      <c r="M18" s="132">
        <f t="shared" si="16"/>
        <v>0</v>
      </c>
      <c r="N18" s="132">
        <f t="shared" si="16"/>
        <v>52243521</v>
      </c>
      <c r="O18" s="132">
        <f t="shared" si="16"/>
        <v>597555559</v>
      </c>
      <c r="P18" s="132"/>
      <c r="Q18" s="132">
        <f t="shared" si="16"/>
        <v>221667655</v>
      </c>
      <c r="R18" s="132">
        <f t="shared" si="16"/>
        <v>375887904</v>
      </c>
      <c r="S18" s="132">
        <f t="shared" si="16"/>
        <v>515231381.52959514</v>
      </c>
      <c r="T18" s="132">
        <f t="shared" si="16"/>
        <v>141377394</v>
      </c>
      <c r="U18" s="132">
        <f t="shared" si="16"/>
        <v>29199398</v>
      </c>
      <c r="V18" s="132">
        <f>SUM(V17)</f>
        <v>170576792</v>
      </c>
      <c r="W18" s="132">
        <f>SUM(W17)</f>
        <v>349222605</v>
      </c>
      <c r="X18" s="132">
        <f t="shared" ref="X18" si="17">SUM(X17)</f>
        <v>-1755837</v>
      </c>
      <c r="Y18" s="27">
        <f t="shared" si="2"/>
        <v>347466768</v>
      </c>
      <c r="Z18" s="133">
        <f>SUM(Z17)</f>
        <v>0</v>
      </c>
      <c r="AA18" s="133">
        <f t="shared" ref="AA18:AB18" si="18">SUM(AA17)</f>
        <v>0</v>
      </c>
      <c r="AB18" s="133">
        <f t="shared" si="18"/>
        <v>0</v>
      </c>
      <c r="AC18" s="134">
        <f>SUM(AC17)</f>
        <v>734451800</v>
      </c>
      <c r="AD18" s="134">
        <f t="shared" ref="AD18:AE18" si="19">SUM(AD17)</f>
        <v>36772590</v>
      </c>
      <c r="AE18" s="134">
        <f t="shared" si="19"/>
        <v>771224390</v>
      </c>
      <c r="AF18" s="135">
        <f>SUM(AF17)</f>
        <v>0</v>
      </c>
      <c r="AG18" s="135">
        <f t="shared" ref="AG18:AH18" si="20">SUM(AG17)</f>
        <v>0</v>
      </c>
      <c r="AH18" s="135">
        <f t="shared" si="20"/>
        <v>0</v>
      </c>
      <c r="AI18" s="136">
        <f>AI17</f>
        <v>400000000</v>
      </c>
      <c r="AJ18" s="137"/>
      <c r="AK18" s="138"/>
      <c r="AL18" s="132">
        <f>SUM(AL17)</f>
        <v>1483674405</v>
      </c>
      <c r="AM18" s="132">
        <f t="shared" ref="AM18:AN18" si="21">SUM(AM17)</f>
        <v>35016753</v>
      </c>
      <c r="AN18" s="132">
        <f t="shared" si="21"/>
        <v>1518691158</v>
      </c>
      <c r="AO18" s="2"/>
      <c r="AP18" s="2"/>
      <c r="AQ18" s="2"/>
      <c r="AR18" s="299"/>
      <c r="AS18" s="300"/>
      <c r="AT18" s="299"/>
      <c r="AU18" s="299"/>
    </row>
    <row r="19" spans="1:47" ht="18" customHeight="1" thickBot="1" x14ac:dyDescent="0.25">
      <c r="A19" s="1">
        <v>13</v>
      </c>
      <c r="B19" s="139" t="s">
        <v>55</v>
      </c>
      <c r="C19" s="140" t="s">
        <v>56</v>
      </c>
      <c r="D19" s="141">
        <v>2883888131</v>
      </c>
      <c r="E19" s="141">
        <v>617976028</v>
      </c>
      <c r="F19" s="20">
        <v>818274627.5638845</v>
      </c>
      <c r="G19" s="142" t="s">
        <v>85</v>
      </c>
      <c r="H19" s="142">
        <v>2414</v>
      </c>
      <c r="I19" s="143">
        <v>617976028</v>
      </c>
      <c r="J19" s="144" t="e">
        <f>I19/#REF!</f>
        <v>#REF!</v>
      </c>
      <c r="K19" s="145">
        <v>891704742</v>
      </c>
      <c r="L19" s="146"/>
      <c r="M19" s="146"/>
      <c r="N19" s="143">
        <v>55894932</v>
      </c>
      <c r="O19" s="143">
        <v>617976028</v>
      </c>
      <c r="P19" s="147" t="e">
        <f>O19/#REF!</f>
        <v>#REF!</v>
      </c>
      <c r="Q19" s="148">
        <v>229242779</v>
      </c>
      <c r="R19" s="143">
        <v>388733249</v>
      </c>
      <c r="S19" s="149">
        <f>'[2]CUADRO COLEGIOS'!$E$6</f>
        <v>200298599.5638845</v>
      </c>
      <c r="T19" s="150">
        <v>0</v>
      </c>
      <c r="U19" s="151">
        <v>0</v>
      </c>
      <c r="V19" s="151">
        <f>T19+U19</f>
        <v>0</v>
      </c>
      <c r="W19" s="150">
        <f>78250910</f>
        <v>78250910</v>
      </c>
      <c r="X19" s="151">
        <v>3912546</v>
      </c>
      <c r="Y19" s="27">
        <f t="shared" si="2"/>
        <v>82163456</v>
      </c>
      <c r="Z19" s="152">
        <v>0</v>
      </c>
      <c r="AA19" s="152">
        <v>0</v>
      </c>
      <c r="AB19" s="152">
        <f>Z19+AA19</f>
        <v>0</v>
      </c>
      <c r="AC19" s="153">
        <v>588620877</v>
      </c>
      <c r="AD19" s="153">
        <v>29431044</v>
      </c>
      <c r="AE19" s="153">
        <f>SUM(AC19:AD19)</f>
        <v>618051921</v>
      </c>
      <c r="AF19" s="154">
        <f>'[1]URBANISMO - 10 DE OCTUBRE 2018'!E19</f>
        <v>238702167.59999999</v>
      </c>
      <c r="AG19" s="153"/>
      <c r="AH19" s="153"/>
      <c r="AI19" s="155">
        <v>0</v>
      </c>
      <c r="AJ19" s="156">
        <v>55894932</v>
      </c>
      <c r="AK19" s="157">
        <v>85485174</v>
      </c>
      <c r="AL19" s="150">
        <f>W19+AC19</f>
        <v>666871787</v>
      </c>
      <c r="AM19" s="151">
        <f>X19+AD19</f>
        <v>33343590</v>
      </c>
      <c r="AN19" s="63">
        <f t="shared" ref="AN19" si="22">AL19+AM19</f>
        <v>700215377</v>
      </c>
      <c r="AO19" s="2"/>
      <c r="AP19" s="2"/>
      <c r="AQ19" s="2"/>
      <c r="AR19" s="292">
        <v>0.08</v>
      </c>
      <c r="AS19" s="295" t="s">
        <v>98</v>
      </c>
      <c r="AT19" s="295" t="s">
        <v>98</v>
      </c>
      <c r="AU19" s="295" t="s">
        <v>98</v>
      </c>
    </row>
    <row r="20" spans="1:47" ht="18" customHeight="1" thickBot="1" x14ac:dyDescent="0.25">
      <c r="B20" s="127"/>
      <c r="C20" s="128"/>
      <c r="D20" s="130">
        <v>2883888131</v>
      </c>
      <c r="E20" s="130">
        <v>617976028</v>
      </c>
      <c r="F20" s="130">
        <v>818274627.5638845</v>
      </c>
      <c r="G20" s="131"/>
      <c r="H20" s="131">
        <f t="shared" ref="H20:R20" si="23">H19</f>
        <v>2414</v>
      </c>
      <c r="I20" s="132">
        <f t="shared" si="23"/>
        <v>617976028</v>
      </c>
      <c r="J20" s="132"/>
      <c r="K20" s="132">
        <f t="shared" si="23"/>
        <v>891704742</v>
      </c>
      <c r="L20" s="132">
        <f t="shared" si="23"/>
        <v>0</v>
      </c>
      <c r="M20" s="132">
        <f t="shared" si="23"/>
        <v>0</v>
      </c>
      <c r="N20" s="132">
        <f t="shared" si="23"/>
        <v>55894932</v>
      </c>
      <c r="O20" s="132">
        <f t="shared" si="23"/>
        <v>617976028</v>
      </c>
      <c r="P20" s="132"/>
      <c r="Q20" s="132">
        <f t="shared" si="23"/>
        <v>229242779</v>
      </c>
      <c r="R20" s="132">
        <f t="shared" si="23"/>
        <v>388733249</v>
      </c>
      <c r="S20" s="132">
        <f>S19</f>
        <v>200298599.5638845</v>
      </c>
      <c r="T20" s="129">
        <f>T19</f>
        <v>0</v>
      </c>
      <c r="U20" s="158">
        <f>U19</f>
        <v>0</v>
      </c>
      <c r="V20" s="132">
        <f>SUM(V19)</f>
        <v>0</v>
      </c>
      <c r="W20" s="132">
        <f>SUM(W19)</f>
        <v>78250910</v>
      </c>
      <c r="X20" s="132">
        <f t="shared" ref="X20" si="24">SUM(X19)</f>
        <v>3912546</v>
      </c>
      <c r="Y20" s="27">
        <f t="shared" si="2"/>
        <v>82163456</v>
      </c>
      <c r="Z20" s="133">
        <f>SUM(Z19)</f>
        <v>0</v>
      </c>
      <c r="AA20" s="133">
        <f t="shared" ref="AA20:AB20" si="25">SUM(AA19)</f>
        <v>0</v>
      </c>
      <c r="AB20" s="133">
        <f t="shared" si="25"/>
        <v>0</v>
      </c>
      <c r="AC20" s="134">
        <f>SUM(AC19)</f>
        <v>588620877</v>
      </c>
      <c r="AD20" s="134">
        <f t="shared" ref="AD20:AE20" si="26">SUM(AD19)</f>
        <v>29431044</v>
      </c>
      <c r="AE20" s="134">
        <f t="shared" si="26"/>
        <v>618051921</v>
      </c>
      <c r="AF20" s="135">
        <f>SUM(AF19)</f>
        <v>238702167.59999999</v>
      </c>
      <c r="AG20" s="135">
        <f t="shared" ref="AG20:AH20" si="27">SUM(AG19)</f>
        <v>0</v>
      </c>
      <c r="AH20" s="135">
        <f t="shared" si="27"/>
        <v>0</v>
      </c>
      <c r="AI20" s="136">
        <f>AI19</f>
        <v>0</v>
      </c>
      <c r="AJ20" s="137"/>
      <c r="AK20" s="138"/>
      <c r="AL20" s="132">
        <f>SUM(AL19)</f>
        <v>666871787</v>
      </c>
      <c r="AM20" s="132">
        <f t="shared" ref="AM20:AN20" si="28">SUM(AM19)</f>
        <v>33343590</v>
      </c>
      <c r="AN20" s="132">
        <f t="shared" si="28"/>
        <v>700215377</v>
      </c>
      <c r="AO20" s="2"/>
      <c r="AP20" s="2"/>
      <c r="AQ20" s="2"/>
      <c r="AR20" s="299"/>
      <c r="AS20" s="300"/>
      <c r="AT20" s="299"/>
      <c r="AU20" s="299"/>
    </row>
    <row r="21" spans="1:47" ht="18" customHeight="1" thickBot="1" x14ac:dyDescent="0.25">
      <c r="A21" s="1">
        <v>14</v>
      </c>
      <c r="B21" s="159" t="s">
        <v>57</v>
      </c>
      <c r="C21" s="160" t="s">
        <v>58</v>
      </c>
      <c r="D21" s="162">
        <v>4946023847</v>
      </c>
      <c r="E21" s="162">
        <v>1059862253</v>
      </c>
      <c r="F21" s="20">
        <v>2630057183</v>
      </c>
      <c r="G21" s="163" t="s">
        <v>85</v>
      </c>
      <c r="H21" s="163">
        <v>960</v>
      </c>
      <c r="I21" s="164">
        <v>1059862253</v>
      </c>
      <c r="J21" s="165" t="e">
        <f>I21/#REF!</f>
        <v>#REF!</v>
      </c>
      <c r="K21" s="356">
        <f>1076775084+2396883907+1076775084</f>
        <v>4550434075</v>
      </c>
      <c r="L21" s="359"/>
      <c r="M21" s="166"/>
      <c r="N21" s="362">
        <v>426164186</v>
      </c>
      <c r="O21" s="164">
        <v>1059862253</v>
      </c>
      <c r="P21" s="167" t="e">
        <f>O21/#REF!</f>
        <v>#REF!</v>
      </c>
      <c r="Q21" s="364">
        <v>1662801791</v>
      </c>
      <c r="R21" s="362">
        <v>2836571296</v>
      </c>
      <c r="S21" s="168">
        <v>0</v>
      </c>
      <c r="T21" s="161">
        <v>1493627702</v>
      </c>
      <c r="U21" s="31">
        <v>76567228</v>
      </c>
      <c r="V21" s="31">
        <f>T21+U21</f>
        <v>1570194930</v>
      </c>
      <c r="W21" s="161">
        <v>104193772</v>
      </c>
      <c r="X21" s="31">
        <f>7800000+1170000+4688720</f>
        <v>13658720</v>
      </c>
      <c r="Y21" s="27">
        <f t="shared" si="2"/>
        <v>117852492</v>
      </c>
      <c r="Z21" s="85">
        <v>0</v>
      </c>
      <c r="AA21" s="85">
        <v>0</v>
      </c>
      <c r="AB21" s="85">
        <f>Z21+AA21</f>
        <v>0</v>
      </c>
      <c r="AC21" s="169">
        <v>0</v>
      </c>
      <c r="AD21" s="169">
        <v>0</v>
      </c>
      <c r="AE21" s="169">
        <v>0</v>
      </c>
      <c r="AF21" s="170">
        <f t="shared" si="9"/>
        <v>0</v>
      </c>
      <c r="AG21" s="169"/>
      <c r="AH21" s="171"/>
      <c r="AI21" s="172">
        <v>0</v>
      </c>
      <c r="AJ21" s="354">
        <v>426164186</v>
      </c>
      <c r="AK21" s="355">
        <v>567529743.38999999</v>
      </c>
      <c r="AL21" s="161">
        <v>0</v>
      </c>
      <c r="AM21" s="31">
        <v>0</v>
      </c>
      <c r="AN21" s="173">
        <f t="shared" ref="AN21:AN22" si="29">AL21+AM21</f>
        <v>0</v>
      </c>
      <c r="AO21" s="2"/>
      <c r="AP21" s="2"/>
      <c r="AQ21" s="2"/>
      <c r="AR21" s="292">
        <v>0.63</v>
      </c>
      <c r="AS21" s="296">
        <v>43812</v>
      </c>
      <c r="AT21" s="294">
        <v>43864</v>
      </c>
      <c r="AU21" s="294">
        <v>44047</v>
      </c>
    </row>
    <row r="22" spans="1:47" ht="18" customHeight="1" thickBot="1" x14ac:dyDescent="0.25">
      <c r="A22" s="1">
        <v>15</v>
      </c>
      <c r="B22" s="64" t="s">
        <v>57</v>
      </c>
      <c r="C22" s="174" t="s">
        <v>59</v>
      </c>
      <c r="D22" s="67">
        <v>11026100164</v>
      </c>
      <c r="E22" s="67">
        <v>2362735749</v>
      </c>
      <c r="F22" s="20">
        <v>3079238373.1963749</v>
      </c>
      <c r="G22" s="68" t="s">
        <v>87</v>
      </c>
      <c r="H22" s="68">
        <v>2267</v>
      </c>
      <c r="I22" s="69">
        <v>2362735749</v>
      </c>
      <c r="J22" s="70" t="e">
        <f>I22/#REF!</f>
        <v>#REF!</v>
      </c>
      <c r="K22" s="357"/>
      <c r="L22" s="360"/>
      <c r="M22" s="175"/>
      <c r="N22" s="344"/>
      <c r="O22" s="69">
        <v>2362735749</v>
      </c>
      <c r="P22" s="72" t="e">
        <f>O22/#REF!</f>
        <v>#REF!</v>
      </c>
      <c r="Q22" s="350"/>
      <c r="R22" s="344"/>
      <c r="S22" s="81">
        <f>'[2]CUADRO COLEGIOS'!$E$10</f>
        <v>716502624.19637501</v>
      </c>
      <c r="T22" s="66">
        <v>0</v>
      </c>
      <c r="U22" s="74">
        <v>0</v>
      </c>
      <c r="V22" s="74">
        <f>T22+U22</f>
        <v>0</v>
      </c>
      <c r="W22" s="66">
        <f>'[1]OFICIO FEBRERO 2018'!E16</f>
        <v>0</v>
      </c>
      <c r="X22" s="74">
        <v>0</v>
      </c>
      <c r="Y22" s="27">
        <f t="shared" si="2"/>
        <v>0</v>
      </c>
      <c r="Z22" s="86">
        <v>0</v>
      </c>
      <c r="AA22" s="86">
        <v>0</v>
      </c>
      <c r="AB22" s="86">
        <f>Z22+AA22</f>
        <v>0</v>
      </c>
      <c r="AC22" s="83">
        <v>1757894557</v>
      </c>
      <c r="AD22" s="83">
        <v>70315782</v>
      </c>
      <c r="AE22" s="83">
        <f>SUM(AC22:AD22)</f>
        <v>1828210339</v>
      </c>
      <c r="AF22" s="78">
        <f t="shared" si="9"/>
        <v>0</v>
      </c>
      <c r="AG22" s="83"/>
      <c r="AH22" s="83"/>
      <c r="AI22" s="84">
        <v>0</v>
      </c>
      <c r="AJ22" s="354"/>
      <c r="AK22" s="355"/>
      <c r="AL22" s="66">
        <f>'[1]OFICIO FEBRERO 2018'!T16</f>
        <v>0</v>
      </c>
      <c r="AM22" s="74">
        <v>0</v>
      </c>
      <c r="AN22" s="74">
        <f t="shared" si="29"/>
        <v>0</v>
      </c>
      <c r="AO22" s="2"/>
      <c r="AP22" s="2"/>
      <c r="AQ22" s="2"/>
      <c r="AR22" s="292">
        <v>0</v>
      </c>
      <c r="AS22" s="295" t="s">
        <v>98</v>
      </c>
      <c r="AT22" s="295" t="s">
        <v>98</v>
      </c>
      <c r="AU22" s="295" t="s">
        <v>98</v>
      </c>
    </row>
    <row r="23" spans="1:47" ht="18" customHeight="1" thickBot="1" x14ac:dyDescent="0.25">
      <c r="A23" s="1">
        <v>16</v>
      </c>
      <c r="B23" s="176" t="s">
        <v>57</v>
      </c>
      <c r="C23" s="177" t="s">
        <v>60</v>
      </c>
      <c r="D23" s="179">
        <v>5024950394</v>
      </c>
      <c r="E23" s="179">
        <v>1076775084</v>
      </c>
      <c r="F23" s="20">
        <v>1422800050.344275</v>
      </c>
      <c r="G23" s="180" t="s">
        <v>87</v>
      </c>
      <c r="H23" s="180">
        <v>960</v>
      </c>
      <c r="I23" s="181">
        <v>1076775084</v>
      </c>
      <c r="J23" s="182" t="e">
        <f>I23/#REF!</f>
        <v>#REF!</v>
      </c>
      <c r="K23" s="358"/>
      <c r="L23" s="361"/>
      <c r="M23" s="183"/>
      <c r="N23" s="363"/>
      <c r="O23" s="181">
        <v>1076775084</v>
      </c>
      <c r="P23" s="184" t="e">
        <f>O23/#REF!</f>
        <v>#REF!</v>
      </c>
      <c r="Q23" s="365"/>
      <c r="R23" s="363"/>
      <c r="S23" s="185">
        <f>'[2]CUADRO COLEGIOS'!$E$8</f>
        <v>346024966.344275</v>
      </c>
      <c r="T23" s="178">
        <v>0</v>
      </c>
      <c r="U23" s="63">
        <v>0</v>
      </c>
      <c r="V23" s="63">
        <f>T23+U23</f>
        <v>0</v>
      </c>
      <c r="W23" s="178">
        <f>'[1]OFICIO FEBRERO 2018'!E17</f>
        <v>0</v>
      </c>
      <c r="X23" s="63">
        <v>0</v>
      </c>
      <c r="Y23" s="27">
        <f t="shared" si="2"/>
        <v>0</v>
      </c>
      <c r="Z23" s="186">
        <v>0</v>
      </c>
      <c r="AA23" s="186">
        <v>0</v>
      </c>
      <c r="AB23" s="186">
        <f>Z23+AA23</f>
        <v>0</v>
      </c>
      <c r="AC23" s="187">
        <v>755917440</v>
      </c>
      <c r="AD23" s="187">
        <v>34016285</v>
      </c>
      <c r="AE23" s="187">
        <f>SUM(AC23:AD23)</f>
        <v>789933725</v>
      </c>
      <c r="AF23" s="188">
        <f>'[1]URBANISMO - 10 DE OCTUBRE 2018'!E23</f>
        <v>884252869.5</v>
      </c>
      <c r="AG23" s="187">
        <v>0</v>
      </c>
      <c r="AH23" s="187">
        <v>0</v>
      </c>
      <c r="AI23" s="189">
        <v>0</v>
      </c>
      <c r="AJ23" s="354"/>
      <c r="AK23" s="355"/>
      <c r="AL23" s="187">
        <f>AC23</f>
        <v>755917440</v>
      </c>
      <c r="AM23" s="187">
        <f>AD23</f>
        <v>34016285</v>
      </c>
      <c r="AN23" s="187">
        <f>SUM(AL23:AM23)</f>
        <v>789933725</v>
      </c>
      <c r="AO23" s="2"/>
      <c r="AP23" s="2"/>
      <c r="AQ23" s="2"/>
      <c r="AR23" s="292">
        <v>0</v>
      </c>
      <c r="AS23" s="295" t="s">
        <v>98</v>
      </c>
      <c r="AT23" s="295" t="s">
        <v>98</v>
      </c>
      <c r="AU23" s="295" t="s">
        <v>98</v>
      </c>
    </row>
    <row r="24" spans="1:47" ht="18" customHeight="1" thickBot="1" x14ac:dyDescent="0.25">
      <c r="B24" s="127"/>
      <c r="C24" s="190"/>
      <c r="D24" s="130">
        <v>20997074405</v>
      </c>
      <c r="E24" s="130">
        <v>4499373086</v>
      </c>
      <c r="F24" s="130">
        <v>7132095606.5406494</v>
      </c>
      <c r="G24" s="131"/>
      <c r="H24" s="131">
        <f t="shared" ref="H24:V24" si="30">SUM(H21:H23)</f>
        <v>4187</v>
      </c>
      <c r="I24" s="132">
        <f t="shared" si="30"/>
        <v>4499373086</v>
      </c>
      <c r="J24" s="132"/>
      <c r="K24" s="132">
        <f t="shared" si="30"/>
        <v>4550434075</v>
      </c>
      <c r="L24" s="132">
        <f t="shared" si="30"/>
        <v>0</v>
      </c>
      <c r="M24" s="132">
        <f t="shared" si="30"/>
        <v>0</v>
      </c>
      <c r="N24" s="132">
        <f t="shared" si="30"/>
        <v>426164186</v>
      </c>
      <c r="O24" s="132">
        <f t="shared" si="30"/>
        <v>4499373086</v>
      </c>
      <c r="P24" s="132"/>
      <c r="Q24" s="132">
        <f t="shared" si="30"/>
        <v>1662801791</v>
      </c>
      <c r="R24" s="132">
        <f t="shared" si="30"/>
        <v>2836571296</v>
      </c>
      <c r="S24" s="132">
        <f t="shared" si="30"/>
        <v>1062527590.54065</v>
      </c>
      <c r="T24" s="132">
        <f t="shared" si="30"/>
        <v>1493627702</v>
      </c>
      <c r="U24" s="132">
        <f t="shared" si="30"/>
        <v>76567228</v>
      </c>
      <c r="V24" s="132">
        <f t="shared" si="30"/>
        <v>1570194930</v>
      </c>
      <c r="W24" s="132">
        <f>SUM(W21:W23)</f>
        <v>104193772</v>
      </c>
      <c r="X24" s="132">
        <f t="shared" ref="X24" si="31">SUM(X21:X23)</f>
        <v>13658720</v>
      </c>
      <c r="Y24" s="27">
        <f t="shared" si="2"/>
        <v>117852492</v>
      </c>
      <c r="Z24" s="133">
        <f>SUM(Z21:Z23)</f>
        <v>0</v>
      </c>
      <c r="AA24" s="133">
        <f t="shared" ref="AA24:AB24" si="32">SUM(AA21:AA23)</f>
        <v>0</v>
      </c>
      <c r="AB24" s="133">
        <f t="shared" si="32"/>
        <v>0</v>
      </c>
      <c r="AC24" s="134">
        <f>SUM(AC21:AC23)</f>
        <v>2513811997</v>
      </c>
      <c r="AD24" s="134">
        <f t="shared" ref="AD24:AE24" si="33">SUM(AD21:AD23)</f>
        <v>104332067</v>
      </c>
      <c r="AE24" s="134">
        <f t="shared" si="33"/>
        <v>2618144064</v>
      </c>
      <c r="AF24" s="135">
        <f>SUM(AF21:AF23)</f>
        <v>884252869.5</v>
      </c>
      <c r="AG24" s="135">
        <f t="shared" ref="AG24:AH24" si="34">SUM(AG21:AG23)</f>
        <v>0</v>
      </c>
      <c r="AH24" s="135">
        <f t="shared" si="34"/>
        <v>0</v>
      </c>
      <c r="AI24" s="191">
        <f>SUM(AI21:AI23)</f>
        <v>0</v>
      </c>
      <c r="AJ24" s="192"/>
      <c r="AK24" s="193"/>
      <c r="AL24" s="132">
        <f>SUM(AL21:AL23)</f>
        <v>755917440</v>
      </c>
      <c r="AM24" s="132">
        <f t="shared" ref="AM24:AN24" si="35">SUM(AM21:AM23)</f>
        <v>34016285</v>
      </c>
      <c r="AN24" s="132">
        <f t="shared" si="35"/>
        <v>789933725</v>
      </c>
      <c r="AO24" s="2"/>
      <c r="AP24" s="2"/>
      <c r="AQ24" s="2"/>
      <c r="AR24" s="299"/>
      <c r="AS24" s="300"/>
      <c r="AT24" s="299"/>
      <c r="AU24" s="299"/>
    </row>
    <row r="25" spans="1:47" ht="18" customHeight="1" thickBot="1" x14ac:dyDescent="0.25">
      <c r="A25" s="1">
        <v>17</v>
      </c>
      <c r="B25" s="159" t="s">
        <v>61</v>
      </c>
      <c r="C25" s="160" t="s">
        <v>62</v>
      </c>
      <c r="D25" s="162">
        <v>7209301520</v>
      </c>
      <c r="E25" s="162">
        <v>1544850326</v>
      </c>
      <c r="F25" s="20">
        <v>3616875918</v>
      </c>
      <c r="G25" s="163" t="s">
        <v>85</v>
      </c>
      <c r="H25" s="163">
        <v>1300</v>
      </c>
      <c r="I25" s="164">
        <v>1544850326</v>
      </c>
      <c r="J25" s="165" t="e">
        <f>I25/#REF!</f>
        <v>#REF!</v>
      </c>
      <c r="K25" s="366">
        <v>1345690000</v>
      </c>
      <c r="L25" s="362">
        <v>679736140</v>
      </c>
      <c r="M25" s="194"/>
      <c r="N25" s="362">
        <v>207723646</v>
      </c>
      <c r="O25" s="164">
        <v>1544850326</v>
      </c>
      <c r="P25" s="167" t="e">
        <f>O25/#REF!</f>
        <v>#REF!</v>
      </c>
      <c r="Q25" s="364">
        <v>1120777257</v>
      </c>
      <c r="R25" s="362">
        <v>1900532641</v>
      </c>
      <c r="S25" s="168">
        <v>0</v>
      </c>
      <c r="T25" s="161">
        <v>0</v>
      </c>
      <c r="U25" s="31">
        <v>0</v>
      </c>
      <c r="V25" s="31">
        <f>T25+U25</f>
        <v>0</v>
      </c>
      <c r="W25" s="161">
        <f>'[1]OFICIO FEBRERO 2018'!E18</f>
        <v>0</v>
      </c>
      <c r="X25" s="31">
        <f>'[1]OFICIO FEBRERO 2018'!F18</f>
        <v>0</v>
      </c>
      <c r="Y25" s="27">
        <f t="shared" si="2"/>
        <v>0</v>
      </c>
      <c r="Z25" s="31">
        <v>0</v>
      </c>
      <c r="AA25" s="31">
        <v>0</v>
      </c>
      <c r="AB25" s="31">
        <f>Z25+AA25</f>
        <v>0</v>
      </c>
      <c r="AC25" s="31">
        <v>0</v>
      </c>
      <c r="AD25" s="31">
        <v>0</v>
      </c>
      <c r="AE25" s="31">
        <f>SUM(AC25:AD25)</f>
        <v>0</v>
      </c>
      <c r="AF25" s="170">
        <f t="shared" si="9"/>
        <v>2072025592</v>
      </c>
      <c r="AG25" s="169"/>
      <c r="AH25" s="169">
        <v>2072025592</v>
      </c>
      <c r="AI25" s="195">
        <f>'[1]URBANISMO - 10 DE OCTUBRE 2018'!H25</f>
        <v>1000000000</v>
      </c>
      <c r="AJ25" s="354">
        <v>207723646</v>
      </c>
      <c r="AK25" s="355">
        <v>70261491</v>
      </c>
      <c r="AL25" s="161">
        <f>'[1]OFICIO FEBRERO 2018'!T18</f>
        <v>0</v>
      </c>
      <c r="AM25" s="31">
        <f>'[1]OFICIO FEBRERO 2018'!U18</f>
        <v>0</v>
      </c>
      <c r="AN25" s="173">
        <f t="shared" ref="AN25:AN26" si="36">AL25+AM25</f>
        <v>0</v>
      </c>
      <c r="AO25" s="2"/>
      <c r="AP25" s="2"/>
      <c r="AQ25" s="2"/>
      <c r="AR25" s="292">
        <v>0.97</v>
      </c>
      <c r="AS25" s="295" t="s">
        <v>97</v>
      </c>
      <c r="AT25" s="294">
        <v>43843</v>
      </c>
      <c r="AU25" s="294">
        <v>43874</v>
      </c>
    </row>
    <row r="26" spans="1:47" ht="18" customHeight="1" thickBot="1" x14ac:dyDescent="0.25">
      <c r="A26" s="1">
        <v>18</v>
      </c>
      <c r="B26" s="32" t="s">
        <v>61</v>
      </c>
      <c r="C26" s="196" t="s">
        <v>51</v>
      </c>
      <c r="D26" s="35">
        <v>4566415903</v>
      </c>
      <c r="E26" s="35">
        <v>480575814</v>
      </c>
      <c r="F26" s="20">
        <v>2160941078.0924225</v>
      </c>
      <c r="G26" s="36" t="s">
        <v>85</v>
      </c>
      <c r="H26" s="36">
        <v>1046</v>
      </c>
      <c r="I26" s="37">
        <v>480575814</v>
      </c>
      <c r="J26" s="38" t="e">
        <f>I26/#REF!</f>
        <v>#REF!</v>
      </c>
      <c r="K26" s="342"/>
      <c r="L26" s="345"/>
      <c r="M26" s="39"/>
      <c r="N26" s="345"/>
      <c r="O26" s="37">
        <v>1476459573</v>
      </c>
      <c r="P26" s="40" t="e">
        <f>O26/#REF!</f>
        <v>#REF!</v>
      </c>
      <c r="Q26" s="351"/>
      <c r="R26" s="345"/>
      <c r="S26" s="197">
        <f>'[2]CUADRO COLEGIOS'!$E$5</f>
        <v>342715456.09242225</v>
      </c>
      <c r="T26" s="34">
        <v>323010103</v>
      </c>
      <c r="U26" s="42">
        <v>18755946</v>
      </c>
      <c r="V26" s="42">
        <f>T26+U26</f>
        <v>341766049</v>
      </c>
      <c r="W26" s="198">
        <f>899093991-341766049</f>
        <v>557327942</v>
      </c>
      <c r="X26" s="42">
        <v>40459230</v>
      </c>
      <c r="Y26" s="27">
        <f t="shared" si="2"/>
        <v>597787172</v>
      </c>
      <c r="Z26" s="93">
        <v>0</v>
      </c>
      <c r="AA26" s="93">
        <v>0</v>
      </c>
      <c r="AB26" s="93">
        <f>Z26+AA26</f>
        <v>0</v>
      </c>
      <c r="AC26" s="93">
        <v>0</v>
      </c>
      <c r="AD26" s="93">
        <v>0</v>
      </c>
      <c r="AE26" s="31">
        <f>SUM(AC26:AD26)</f>
        <v>0</v>
      </c>
      <c r="AF26" s="43">
        <f t="shared" si="9"/>
        <v>0</v>
      </c>
      <c r="AG26" s="199"/>
      <c r="AH26" s="199"/>
      <c r="AI26" s="200">
        <v>0</v>
      </c>
      <c r="AJ26" s="334"/>
      <c r="AK26" s="336"/>
      <c r="AL26" s="198">
        <f>899093991-341766049</f>
        <v>557327942</v>
      </c>
      <c r="AM26" s="42">
        <v>40459230</v>
      </c>
      <c r="AN26" s="42">
        <f t="shared" si="36"/>
        <v>597787172</v>
      </c>
      <c r="AO26" s="2"/>
      <c r="AP26" s="2"/>
      <c r="AQ26" s="2"/>
      <c r="AR26" s="292">
        <v>0.1</v>
      </c>
      <c r="AS26" s="295" t="s">
        <v>98</v>
      </c>
      <c r="AT26" s="295" t="s">
        <v>98</v>
      </c>
      <c r="AU26" s="295" t="s">
        <v>98</v>
      </c>
    </row>
    <row r="27" spans="1:47" ht="18" customHeight="1" thickBot="1" x14ac:dyDescent="0.25">
      <c r="B27" s="127"/>
      <c r="C27" s="190"/>
      <c r="D27" s="130">
        <v>11775717423</v>
      </c>
      <c r="E27" s="130">
        <v>2025426140</v>
      </c>
      <c r="F27" s="130">
        <v>5777816996.0924225</v>
      </c>
      <c r="G27" s="131"/>
      <c r="H27" s="131">
        <f t="shared" ref="H27:R27" si="37">SUM(H25:H26)</f>
        <v>2346</v>
      </c>
      <c r="I27" s="132">
        <f t="shared" si="37"/>
        <v>2025426140</v>
      </c>
      <c r="J27" s="132"/>
      <c r="K27" s="132">
        <f t="shared" si="37"/>
        <v>1345690000</v>
      </c>
      <c r="L27" s="132">
        <f t="shared" si="37"/>
        <v>679736140</v>
      </c>
      <c r="M27" s="132">
        <f t="shared" si="37"/>
        <v>0</v>
      </c>
      <c r="N27" s="132">
        <f t="shared" si="37"/>
        <v>207723646</v>
      </c>
      <c r="O27" s="132">
        <f t="shared" si="37"/>
        <v>3021309899</v>
      </c>
      <c r="P27" s="132"/>
      <c r="Q27" s="132">
        <f t="shared" si="37"/>
        <v>1120777257</v>
      </c>
      <c r="R27" s="132">
        <f t="shared" si="37"/>
        <v>1900532641</v>
      </c>
      <c r="S27" s="132">
        <f t="shared" ref="S27:V27" si="38">SUM(S25:S26)</f>
        <v>342715456.09242225</v>
      </c>
      <c r="T27" s="132">
        <f t="shared" si="38"/>
        <v>323010103</v>
      </c>
      <c r="U27" s="132">
        <f t="shared" si="38"/>
        <v>18755946</v>
      </c>
      <c r="V27" s="132">
        <f t="shared" si="38"/>
        <v>341766049</v>
      </c>
      <c r="W27" s="132">
        <f>SUM(W25:W26)</f>
        <v>557327942</v>
      </c>
      <c r="X27" s="132">
        <f t="shared" ref="X27" si="39">SUM(X25:X26)</f>
        <v>40459230</v>
      </c>
      <c r="Y27" s="27">
        <f t="shared" si="2"/>
        <v>597787172</v>
      </c>
      <c r="Z27" s="133">
        <f>SUM(Z25:Z26)</f>
        <v>0</v>
      </c>
      <c r="AA27" s="133">
        <f t="shared" ref="AA27:AB27" si="40">SUM(AA25:AA26)</f>
        <v>0</v>
      </c>
      <c r="AB27" s="133">
        <f t="shared" si="40"/>
        <v>0</v>
      </c>
      <c r="AC27" s="133">
        <f>SUM(AC25:AC26)</f>
        <v>0</v>
      </c>
      <c r="AD27" s="133">
        <f t="shared" ref="AD27:AE27" si="41">SUM(AD25:AD26)</f>
        <v>0</v>
      </c>
      <c r="AE27" s="133">
        <f t="shared" si="41"/>
        <v>0</v>
      </c>
      <c r="AF27" s="135">
        <f>SUM(AF25:AF26)</f>
        <v>2072025592</v>
      </c>
      <c r="AG27" s="135">
        <f t="shared" ref="AG27:AH27" si="42">SUM(AG25:AG26)</f>
        <v>0</v>
      </c>
      <c r="AH27" s="135">
        <f t="shared" si="42"/>
        <v>2072025592</v>
      </c>
      <c r="AI27" s="136">
        <f>SUM(AI25:AI26)</f>
        <v>1000000000</v>
      </c>
      <c r="AJ27" s="192"/>
      <c r="AK27" s="193"/>
      <c r="AL27" s="132">
        <f>SUM(AL25:AL26)</f>
        <v>557327942</v>
      </c>
      <c r="AM27" s="132">
        <f t="shared" ref="AM27:AN27" si="43">SUM(AM25:AM26)</f>
        <v>40459230</v>
      </c>
      <c r="AN27" s="132">
        <f t="shared" si="43"/>
        <v>597787172</v>
      </c>
      <c r="AO27" s="2"/>
      <c r="AP27" s="2"/>
      <c r="AQ27" s="2"/>
      <c r="AR27" s="299"/>
      <c r="AS27" s="300"/>
      <c r="AT27" s="299"/>
      <c r="AU27" s="299"/>
    </row>
    <row r="28" spans="1:47" ht="18" customHeight="1" thickBot="1" x14ac:dyDescent="0.25">
      <c r="A28" s="1">
        <v>19</v>
      </c>
      <c r="B28" s="159" t="s">
        <v>63</v>
      </c>
      <c r="C28" s="160" t="s">
        <v>88</v>
      </c>
      <c r="D28" s="162">
        <v>2073008170</v>
      </c>
      <c r="E28" s="162">
        <v>444216036</v>
      </c>
      <c r="F28" s="20">
        <v>1955768626.635499</v>
      </c>
      <c r="G28" s="163" t="s">
        <v>85</v>
      </c>
      <c r="H28" s="163">
        <v>443</v>
      </c>
      <c r="I28" s="164">
        <v>444216036</v>
      </c>
      <c r="J28" s="165" t="e">
        <f>I28/#REF!</f>
        <v>#REF!</v>
      </c>
      <c r="K28" s="356">
        <v>3117182495</v>
      </c>
      <c r="L28" s="362">
        <v>4632000000</v>
      </c>
      <c r="M28" s="194"/>
      <c r="N28" s="362">
        <v>655402890</v>
      </c>
      <c r="O28" s="164">
        <v>444216036</v>
      </c>
      <c r="P28" s="167" t="e">
        <f>O28/#REF!</f>
        <v>#REF!</v>
      </c>
      <c r="Q28" s="364">
        <v>2515084460</v>
      </c>
      <c r="R28" s="362">
        <v>4264897491</v>
      </c>
      <c r="S28" s="201">
        <f>'[2]CUADRO COLEGIOS'!$E$11</f>
        <v>139851538.635499</v>
      </c>
      <c r="T28" s="161">
        <v>1296586769</v>
      </c>
      <c r="U28" s="31">
        <v>75114283</v>
      </c>
      <c r="V28" s="31">
        <f t="shared" ref="V28:V36" si="44">T28+U28</f>
        <v>1371701052</v>
      </c>
      <c r="W28" s="161">
        <v>0</v>
      </c>
      <c r="X28" s="31">
        <v>0</v>
      </c>
      <c r="Y28" s="27">
        <f t="shared" si="2"/>
        <v>0</v>
      </c>
      <c r="Z28" s="87">
        <v>0</v>
      </c>
      <c r="AA28" s="87">
        <v>0</v>
      </c>
      <c r="AB28" s="87">
        <f t="shared" ref="AB28:AB36" si="45">Z28+AA28</f>
        <v>0</v>
      </c>
      <c r="AC28" s="202">
        <v>0</v>
      </c>
      <c r="AD28" s="202">
        <v>0</v>
      </c>
      <c r="AE28" s="202">
        <f>AC28+AD28</f>
        <v>0</v>
      </c>
      <c r="AF28" s="170">
        <f t="shared" si="9"/>
        <v>0</v>
      </c>
      <c r="AG28" s="202"/>
      <c r="AH28" s="202"/>
      <c r="AI28" s="195">
        <v>0</v>
      </c>
      <c r="AJ28" s="354">
        <v>655402890</v>
      </c>
      <c r="AK28" s="355">
        <v>737700503.88</v>
      </c>
      <c r="AL28" s="161">
        <v>0</v>
      </c>
      <c r="AM28" s="31">
        <v>0</v>
      </c>
      <c r="AN28" s="173">
        <f t="shared" ref="AN28:AN36" si="46">AL28+AM28</f>
        <v>0</v>
      </c>
      <c r="AO28" s="2"/>
      <c r="AP28" s="2"/>
      <c r="AQ28" s="2"/>
      <c r="AR28" s="292">
        <v>0.35</v>
      </c>
      <c r="AS28" s="296">
        <v>43798</v>
      </c>
      <c r="AT28" s="294">
        <v>43850</v>
      </c>
      <c r="AU28" s="294">
        <v>44095</v>
      </c>
    </row>
    <row r="29" spans="1:47" ht="18" customHeight="1" thickBot="1" x14ac:dyDescent="0.25">
      <c r="A29" s="1">
        <v>20</v>
      </c>
      <c r="B29" s="64" t="s">
        <v>63</v>
      </c>
      <c r="C29" s="174" t="s">
        <v>64</v>
      </c>
      <c r="D29" s="67">
        <v>3319433864</v>
      </c>
      <c r="E29" s="67">
        <v>711307257</v>
      </c>
      <c r="F29" s="20">
        <v>920060901.83852303</v>
      </c>
      <c r="G29" s="68" t="s">
        <v>85</v>
      </c>
      <c r="H29" s="68">
        <v>899</v>
      </c>
      <c r="I29" s="69">
        <v>711307257</v>
      </c>
      <c r="J29" s="70" t="e">
        <f>I29/#REF!</f>
        <v>#REF!</v>
      </c>
      <c r="K29" s="357"/>
      <c r="L29" s="344"/>
      <c r="M29" s="71"/>
      <c r="N29" s="344"/>
      <c r="O29" s="69">
        <v>711307257</v>
      </c>
      <c r="P29" s="72" t="e">
        <f>O29/#REF!</f>
        <v>#REF!</v>
      </c>
      <c r="Q29" s="350"/>
      <c r="R29" s="344"/>
      <c r="S29" s="81">
        <f>'[2]CUADRO COLEGIOS'!$E$19</f>
        <v>184326053.83852303</v>
      </c>
      <c r="T29" s="66">
        <v>20498771</v>
      </c>
      <c r="U29" s="74">
        <v>3928820</v>
      </c>
      <c r="V29" s="74">
        <f t="shared" si="44"/>
        <v>24427591</v>
      </c>
      <c r="W29" s="66">
        <f>248615384-T29</f>
        <v>228116613</v>
      </c>
      <c r="X29" s="74">
        <f>12430769-U29</f>
        <v>8501949</v>
      </c>
      <c r="Y29" s="27">
        <f t="shared" si="2"/>
        <v>236618562</v>
      </c>
      <c r="Z29" s="86">
        <v>0</v>
      </c>
      <c r="AA29" s="86">
        <v>0</v>
      </c>
      <c r="AB29" s="86">
        <f t="shared" si="45"/>
        <v>0</v>
      </c>
      <c r="AC29" s="83">
        <v>0</v>
      </c>
      <c r="AD29" s="83">
        <v>0</v>
      </c>
      <c r="AE29" s="83">
        <f>AC29+AD29</f>
        <v>0</v>
      </c>
      <c r="AF29" s="76">
        <f>'[1]URBANISMO - 10 DE OCTUBRE 2018'!E29</f>
        <v>377867538.10000002</v>
      </c>
      <c r="AG29" s="83"/>
      <c r="AH29" s="83"/>
      <c r="AI29" s="203">
        <v>0</v>
      </c>
      <c r="AJ29" s="354"/>
      <c r="AK29" s="355"/>
      <c r="AL29" s="66">
        <v>0</v>
      </c>
      <c r="AM29" s="74">
        <v>0</v>
      </c>
      <c r="AN29" s="74">
        <f t="shared" si="46"/>
        <v>0</v>
      </c>
      <c r="AO29" s="2"/>
      <c r="AP29" s="2"/>
      <c r="AQ29" s="2"/>
      <c r="AR29" s="292">
        <v>0.26</v>
      </c>
      <c r="AS29" s="296">
        <v>43798</v>
      </c>
      <c r="AT29" s="294">
        <v>43850</v>
      </c>
      <c r="AU29" s="294">
        <v>44136</v>
      </c>
    </row>
    <row r="30" spans="1:47" ht="18" customHeight="1" thickBot="1" x14ac:dyDescent="0.25">
      <c r="A30" s="1">
        <v>21</v>
      </c>
      <c r="B30" s="64" t="s">
        <v>63</v>
      </c>
      <c r="C30" s="174" t="s">
        <v>65</v>
      </c>
      <c r="D30" s="67">
        <v>3627764370</v>
      </c>
      <c r="E30" s="67">
        <v>777378079</v>
      </c>
      <c r="F30" s="20">
        <v>1187391460.7949095</v>
      </c>
      <c r="G30" s="68" t="s">
        <v>85</v>
      </c>
      <c r="H30" s="68">
        <v>691</v>
      </c>
      <c r="I30" s="69">
        <v>777378079</v>
      </c>
      <c r="J30" s="70" t="e">
        <f>I30/#REF!</f>
        <v>#REF!</v>
      </c>
      <c r="K30" s="357"/>
      <c r="L30" s="344"/>
      <c r="M30" s="71"/>
      <c r="N30" s="344"/>
      <c r="O30" s="69">
        <v>777378079</v>
      </c>
      <c r="P30" s="72" t="e">
        <f>O30/#REF!</f>
        <v>#REF!</v>
      </c>
      <c r="Q30" s="350"/>
      <c r="R30" s="344"/>
      <c r="S30" s="81">
        <f>'[2]CUADRO COLEGIOS'!$E$15</f>
        <v>152841077.79490936</v>
      </c>
      <c r="T30" s="66">
        <v>241136531</v>
      </c>
      <c r="U30" s="74">
        <v>16035773</v>
      </c>
      <c r="V30" s="74">
        <f t="shared" si="44"/>
        <v>257172304</v>
      </c>
      <c r="W30" s="66">
        <f>1198426596-T30</f>
        <v>957290065</v>
      </c>
      <c r="X30" s="74">
        <f>53929197-U30</f>
        <v>37893424</v>
      </c>
      <c r="Y30" s="27">
        <f t="shared" si="2"/>
        <v>995183489</v>
      </c>
      <c r="Z30" s="86">
        <v>0</v>
      </c>
      <c r="AA30" s="86">
        <v>0</v>
      </c>
      <c r="AB30" s="86">
        <f t="shared" si="45"/>
        <v>0</v>
      </c>
      <c r="AC30" s="83">
        <v>0</v>
      </c>
      <c r="AD30" s="83">
        <v>0</v>
      </c>
      <c r="AE30" s="83">
        <f>AC30+AD30</f>
        <v>0</v>
      </c>
      <c r="AF30" s="78">
        <f t="shared" si="9"/>
        <v>0</v>
      </c>
      <c r="AG30" s="83"/>
      <c r="AH30" s="83"/>
      <c r="AI30" s="203">
        <v>0</v>
      </c>
      <c r="AJ30" s="354"/>
      <c r="AK30" s="355"/>
      <c r="AL30" s="66">
        <v>0</v>
      </c>
      <c r="AM30" s="74">
        <v>0</v>
      </c>
      <c r="AN30" s="74">
        <f t="shared" si="46"/>
        <v>0</v>
      </c>
      <c r="AO30" s="2"/>
      <c r="AP30" s="2"/>
      <c r="AQ30" s="2"/>
      <c r="AR30" s="292">
        <v>0.11</v>
      </c>
      <c r="AS30" s="295" t="s">
        <v>98</v>
      </c>
      <c r="AT30" s="295" t="s">
        <v>98</v>
      </c>
      <c r="AU30" s="295" t="s">
        <v>98</v>
      </c>
    </row>
    <row r="31" spans="1:47" ht="18" customHeight="1" thickBot="1" x14ac:dyDescent="0.25">
      <c r="A31" s="1">
        <v>22</v>
      </c>
      <c r="B31" s="64" t="s">
        <v>63</v>
      </c>
      <c r="C31" s="174" t="s">
        <v>66</v>
      </c>
      <c r="D31" s="67">
        <v>4803496172</v>
      </c>
      <c r="E31" s="67">
        <v>1029320608</v>
      </c>
      <c r="F31" s="20">
        <v>1252124293.2166519</v>
      </c>
      <c r="G31" s="68" t="s">
        <v>85</v>
      </c>
      <c r="H31" s="68">
        <v>1393</v>
      </c>
      <c r="I31" s="69">
        <v>1029320608</v>
      </c>
      <c r="J31" s="70" t="e">
        <f>I31/#REF!</f>
        <v>#REF!</v>
      </c>
      <c r="K31" s="357"/>
      <c r="L31" s="344"/>
      <c r="M31" s="71"/>
      <c r="N31" s="344"/>
      <c r="O31" s="69">
        <v>1029320608</v>
      </c>
      <c r="P31" s="72" t="e">
        <f>O31/#REF!</f>
        <v>#REF!</v>
      </c>
      <c r="Q31" s="350"/>
      <c r="R31" s="344"/>
      <c r="S31" s="81">
        <f>'[2]CUADRO COLEGIOS'!$E$12</f>
        <v>222803685.21665186</v>
      </c>
      <c r="T31" s="66">
        <v>0</v>
      </c>
      <c r="U31" s="74">
        <v>0</v>
      </c>
      <c r="V31" s="74">
        <f t="shared" si="44"/>
        <v>0</v>
      </c>
      <c r="W31" s="66">
        <v>1212370093</v>
      </c>
      <c r="X31" s="74">
        <v>54556650</v>
      </c>
      <c r="Y31" s="27">
        <f t="shared" si="2"/>
        <v>1266926743</v>
      </c>
      <c r="Z31" s="86">
        <v>0</v>
      </c>
      <c r="AA31" s="86">
        <v>0</v>
      </c>
      <c r="AB31" s="86">
        <f t="shared" si="45"/>
        <v>0</v>
      </c>
      <c r="AC31" s="83">
        <v>474041369</v>
      </c>
      <c r="AD31" s="83">
        <v>21331862</v>
      </c>
      <c r="AE31" s="83">
        <f>SUM(AC31:AD31)</f>
        <v>495373231</v>
      </c>
      <c r="AF31" s="78">
        <f t="shared" si="9"/>
        <v>0</v>
      </c>
      <c r="AG31" s="83"/>
      <c r="AH31" s="83"/>
      <c r="AI31" s="203">
        <v>0</v>
      </c>
      <c r="AJ31" s="354"/>
      <c r="AK31" s="355"/>
      <c r="AL31" s="66">
        <f>AC31</f>
        <v>474041369</v>
      </c>
      <c r="AM31" s="74">
        <f>AD31</f>
        <v>21331862</v>
      </c>
      <c r="AN31" s="74">
        <f t="shared" si="46"/>
        <v>495373231</v>
      </c>
      <c r="AO31" s="2"/>
      <c r="AP31" s="2"/>
      <c r="AQ31" s="2"/>
      <c r="AR31" s="292">
        <v>0.08</v>
      </c>
      <c r="AS31" s="296">
        <v>43812</v>
      </c>
      <c r="AT31" s="294">
        <v>43864</v>
      </c>
      <c r="AU31" s="294">
        <v>44364</v>
      </c>
    </row>
    <row r="32" spans="1:47" ht="18" customHeight="1" thickBot="1" x14ac:dyDescent="0.25">
      <c r="A32" s="1">
        <v>23</v>
      </c>
      <c r="B32" s="64" t="s">
        <v>63</v>
      </c>
      <c r="C32" s="204" t="s">
        <v>67</v>
      </c>
      <c r="D32" s="67">
        <v>4169734367</v>
      </c>
      <c r="E32" s="67">
        <v>893514507</v>
      </c>
      <c r="F32" s="20">
        <v>1176933995.7896295</v>
      </c>
      <c r="G32" s="68" t="s">
        <v>85</v>
      </c>
      <c r="H32" s="68">
        <v>1184</v>
      </c>
      <c r="I32" s="69">
        <v>893514507</v>
      </c>
      <c r="J32" s="70" t="e">
        <f>I32/#REF!</f>
        <v>#REF!</v>
      </c>
      <c r="K32" s="357"/>
      <c r="L32" s="344"/>
      <c r="M32" s="71"/>
      <c r="N32" s="344"/>
      <c r="O32" s="69">
        <v>893514507</v>
      </c>
      <c r="P32" s="72" t="e">
        <f>O32/#REF!</f>
        <v>#REF!</v>
      </c>
      <c r="Q32" s="350"/>
      <c r="R32" s="344"/>
      <c r="S32" s="81">
        <f>'[2]CUADRO COLEGIOS'!$E$14</f>
        <v>283419488.7896294</v>
      </c>
      <c r="T32" s="66">
        <v>0</v>
      </c>
      <c r="U32" s="74">
        <v>0</v>
      </c>
      <c r="V32" s="74">
        <f t="shared" si="44"/>
        <v>0</v>
      </c>
      <c r="W32" s="66">
        <f>'[1]OFICIO FEBRERO 2018'!E24</f>
        <v>0</v>
      </c>
      <c r="X32" s="74">
        <v>0</v>
      </c>
      <c r="Y32" s="27">
        <f t="shared" si="2"/>
        <v>0</v>
      </c>
      <c r="Z32" s="86">
        <v>0</v>
      </c>
      <c r="AA32" s="86">
        <v>0</v>
      </c>
      <c r="AB32" s="86">
        <f t="shared" si="45"/>
        <v>0</v>
      </c>
      <c r="AC32" s="83">
        <v>556128424</v>
      </c>
      <c r="AD32" s="83">
        <v>25025779</v>
      </c>
      <c r="AE32" s="83">
        <f>AC32+AD32</f>
        <v>581154203</v>
      </c>
      <c r="AF32" s="78">
        <f t="shared" si="9"/>
        <v>0</v>
      </c>
      <c r="AG32" s="83"/>
      <c r="AH32" s="83"/>
      <c r="AI32" s="203">
        <v>0</v>
      </c>
      <c r="AJ32" s="354"/>
      <c r="AK32" s="355"/>
      <c r="AL32" s="66">
        <f>AC32</f>
        <v>556128424</v>
      </c>
      <c r="AM32" s="74">
        <f>AD32</f>
        <v>25025779</v>
      </c>
      <c r="AN32" s="74">
        <f t="shared" si="46"/>
        <v>581154203</v>
      </c>
      <c r="AO32" s="2"/>
      <c r="AP32" s="2"/>
      <c r="AQ32" s="2"/>
      <c r="AR32" s="292">
        <v>0.09</v>
      </c>
      <c r="AS32" s="295" t="s">
        <v>98</v>
      </c>
      <c r="AT32" s="295" t="s">
        <v>98</v>
      </c>
      <c r="AU32" s="295" t="s">
        <v>98</v>
      </c>
    </row>
    <row r="33" spans="1:47" ht="18" customHeight="1" thickBot="1" x14ac:dyDescent="0.25">
      <c r="A33" s="1">
        <v>24</v>
      </c>
      <c r="B33" s="64" t="s">
        <v>63</v>
      </c>
      <c r="C33" s="204" t="s">
        <v>89</v>
      </c>
      <c r="D33" s="67">
        <v>1971978549</v>
      </c>
      <c r="E33" s="67">
        <v>422566832</v>
      </c>
      <c r="F33" s="20">
        <v>1264265012.0942202</v>
      </c>
      <c r="G33" s="68" t="s">
        <v>85</v>
      </c>
      <c r="H33" s="68">
        <v>346</v>
      </c>
      <c r="I33" s="69">
        <v>422566832</v>
      </c>
      <c r="J33" s="70" t="e">
        <f>I33/#REF!</f>
        <v>#REF!</v>
      </c>
      <c r="K33" s="357"/>
      <c r="L33" s="344"/>
      <c r="M33" s="71"/>
      <c r="N33" s="344"/>
      <c r="O33" s="69">
        <v>422566832</v>
      </c>
      <c r="P33" s="72" t="e">
        <f>O33/#REF!</f>
        <v>#REF!</v>
      </c>
      <c r="Q33" s="350"/>
      <c r="R33" s="344"/>
      <c r="S33" s="81">
        <f>'[2]CUADRO COLEGIOS'!$E$9</f>
        <v>133751853.09422012</v>
      </c>
      <c r="T33" s="66">
        <v>665002891</v>
      </c>
      <c r="U33" s="74">
        <v>42943436</v>
      </c>
      <c r="V33" s="74">
        <f t="shared" si="44"/>
        <v>707946327</v>
      </c>
      <c r="W33" s="66">
        <f>636347343-T33</f>
        <v>-28655548</v>
      </c>
      <c r="X33" s="74">
        <f>31817367-U33</f>
        <v>-11126069</v>
      </c>
      <c r="Y33" s="27">
        <f t="shared" si="2"/>
        <v>-39781617</v>
      </c>
      <c r="Z33" s="86">
        <v>0</v>
      </c>
      <c r="AA33" s="86">
        <v>0</v>
      </c>
      <c r="AB33" s="86">
        <f t="shared" si="45"/>
        <v>0</v>
      </c>
      <c r="AC33" s="83">
        <v>414961177</v>
      </c>
      <c r="AD33" s="83">
        <v>20748059</v>
      </c>
      <c r="AE33" s="83">
        <f>AC33+AD33</f>
        <v>435709236</v>
      </c>
      <c r="AF33" s="76">
        <f>'[1]URBANISMO - 10 DE OCTUBRE 2018'!E33</f>
        <v>486856854.90000004</v>
      </c>
      <c r="AG33" s="83"/>
      <c r="AH33" s="83"/>
      <c r="AI33" s="203">
        <v>0</v>
      </c>
      <c r="AJ33" s="354"/>
      <c r="AK33" s="355"/>
      <c r="AL33" s="66">
        <v>0</v>
      </c>
      <c r="AM33" s="74">
        <v>0</v>
      </c>
      <c r="AN33" s="74">
        <f t="shared" si="46"/>
        <v>0</v>
      </c>
      <c r="AO33" s="2"/>
      <c r="AP33" s="2"/>
      <c r="AQ33" s="2"/>
      <c r="AR33" s="292">
        <v>0.08</v>
      </c>
      <c r="AS33" s="295" t="s">
        <v>98</v>
      </c>
      <c r="AT33" s="295" t="s">
        <v>98</v>
      </c>
      <c r="AU33" s="295" t="s">
        <v>98</v>
      </c>
    </row>
    <row r="34" spans="1:47" ht="18" customHeight="1" thickBot="1" x14ac:dyDescent="0.25">
      <c r="A34" s="1">
        <v>25</v>
      </c>
      <c r="B34" s="64" t="s">
        <v>63</v>
      </c>
      <c r="C34" s="204" t="s">
        <v>90</v>
      </c>
      <c r="D34" s="67">
        <v>3622210406</v>
      </c>
      <c r="E34" s="67">
        <v>776187944</v>
      </c>
      <c r="F34" s="20">
        <v>1934762925.130312</v>
      </c>
      <c r="G34" s="68" t="s">
        <v>85</v>
      </c>
      <c r="H34" s="68">
        <v>550</v>
      </c>
      <c r="I34" s="69">
        <v>776187944</v>
      </c>
      <c r="J34" s="70" t="e">
        <f>I34/#REF!</f>
        <v>#REF!</v>
      </c>
      <c r="K34" s="357"/>
      <c r="L34" s="344"/>
      <c r="M34" s="71"/>
      <c r="N34" s="344"/>
      <c r="O34" s="69">
        <v>776187944</v>
      </c>
      <c r="P34" s="72" t="e">
        <f>O34/#REF!</f>
        <v>#REF!</v>
      </c>
      <c r="Q34" s="350"/>
      <c r="R34" s="344"/>
      <c r="S34" s="81">
        <f>'[2]CUADRO COLEGIOS'!$E$17</f>
        <v>415754735.13031209</v>
      </c>
      <c r="T34" s="66">
        <v>700741806</v>
      </c>
      <c r="U34" s="74">
        <v>42078440</v>
      </c>
      <c r="V34" s="74">
        <f t="shared" si="44"/>
        <v>742820246</v>
      </c>
      <c r="W34" s="205">
        <f>2085387093-T34</f>
        <v>1384645287</v>
      </c>
      <c r="X34" s="74">
        <f>93842419-U34</f>
        <v>51763979</v>
      </c>
      <c r="Y34" s="27">
        <f t="shared" si="2"/>
        <v>1436409266</v>
      </c>
      <c r="Z34" s="86">
        <v>0</v>
      </c>
      <c r="AA34" s="86">
        <v>0</v>
      </c>
      <c r="AB34" s="86">
        <f t="shared" si="45"/>
        <v>0</v>
      </c>
      <c r="AC34" s="83">
        <v>0</v>
      </c>
      <c r="AD34" s="83">
        <v>0</v>
      </c>
      <c r="AE34" s="83">
        <f>AC34+AD34</f>
        <v>0</v>
      </c>
      <c r="AF34" s="78">
        <f t="shared" si="9"/>
        <v>0</v>
      </c>
      <c r="AG34" s="83"/>
      <c r="AH34" s="83"/>
      <c r="AI34" s="203">
        <v>0</v>
      </c>
      <c r="AJ34" s="354"/>
      <c r="AK34" s="355"/>
      <c r="AL34" s="205">
        <v>0</v>
      </c>
      <c r="AM34" s="74">
        <v>0</v>
      </c>
      <c r="AN34" s="74">
        <f t="shared" si="46"/>
        <v>0</v>
      </c>
      <c r="AO34" s="2"/>
      <c r="AP34" s="2"/>
      <c r="AQ34" s="2"/>
      <c r="AR34" s="292">
        <v>0.11</v>
      </c>
      <c r="AS34" s="295" t="s">
        <v>98</v>
      </c>
      <c r="AT34" s="295" t="s">
        <v>98</v>
      </c>
      <c r="AU34" s="295" t="s">
        <v>98</v>
      </c>
    </row>
    <row r="35" spans="1:47" ht="18" customHeight="1" thickBot="1" x14ac:dyDescent="0.25">
      <c r="A35" s="1">
        <v>26</v>
      </c>
      <c r="B35" s="64" t="s">
        <v>63</v>
      </c>
      <c r="C35" s="204" t="s">
        <v>68</v>
      </c>
      <c r="D35" s="67">
        <v>4687603477</v>
      </c>
      <c r="E35" s="67">
        <v>1004486459</v>
      </c>
      <c r="F35" s="20">
        <v>1916104305.9974756</v>
      </c>
      <c r="G35" s="68" t="s">
        <v>85</v>
      </c>
      <c r="H35" s="68">
        <v>1510</v>
      </c>
      <c r="I35" s="69">
        <v>1004486459</v>
      </c>
      <c r="J35" s="70" t="e">
        <f>I35/#REF!</f>
        <v>#REF!</v>
      </c>
      <c r="K35" s="357"/>
      <c r="L35" s="344"/>
      <c r="M35" s="71"/>
      <c r="N35" s="344"/>
      <c r="O35" s="69">
        <v>1004486459</v>
      </c>
      <c r="P35" s="72" t="e">
        <f>O35/#REF!</f>
        <v>#REF!</v>
      </c>
      <c r="Q35" s="350"/>
      <c r="R35" s="344"/>
      <c r="S35" s="81">
        <f>'[2]CUADRO COLEGIOS'!$E$20</f>
        <v>124230801.99747573</v>
      </c>
      <c r="T35" s="66">
        <v>0</v>
      </c>
      <c r="U35" s="74">
        <v>0</v>
      </c>
      <c r="V35" s="74">
        <f t="shared" si="44"/>
        <v>0</v>
      </c>
      <c r="W35" s="66">
        <v>0</v>
      </c>
      <c r="X35" s="74">
        <v>0</v>
      </c>
      <c r="Y35" s="27">
        <f t="shared" si="2"/>
        <v>0</v>
      </c>
      <c r="Z35" s="86">
        <v>0</v>
      </c>
      <c r="AA35" s="86">
        <v>0</v>
      </c>
      <c r="AB35" s="86">
        <f t="shared" si="45"/>
        <v>0</v>
      </c>
      <c r="AC35" s="83">
        <v>0</v>
      </c>
      <c r="AD35" s="83">
        <v>0</v>
      </c>
      <c r="AE35" s="83">
        <f>AC35+AD35</f>
        <v>0</v>
      </c>
      <c r="AF35" s="76">
        <f>'[1]URBANISMO - 10 DE OCTUBRE 2018'!E35</f>
        <v>874941009.80000007</v>
      </c>
      <c r="AG35" s="83"/>
      <c r="AH35" s="83">
        <v>787387045</v>
      </c>
      <c r="AI35" s="206">
        <f>'[1]URBANISMO - 10 DE OCTUBRE 2018'!H35</f>
        <v>400000000</v>
      </c>
      <c r="AJ35" s="354"/>
      <c r="AK35" s="355"/>
      <c r="AL35" s="66">
        <v>0</v>
      </c>
      <c r="AM35" s="74">
        <v>0</v>
      </c>
      <c r="AN35" s="74">
        <f t="shared" si="46"/>
        <v>0</v>
      </c>
      <c r="AO35" s="2"/>
      <c r="AP35" s="2"/>
      <c r="AQ35" s="2"/>
      <c r="AR35" s="292">
        <v>0.6</v>
      </c>
      <c r="AS35" s="296">
        <v>43798</v>
      </c>
      <c r="AT35" s="294">
        <v>43850</v>
      </c>
      <c r="AU35" s="294">
        <v>44024</v>
      </c>
    </row>
    <row r="36" spans="1:47" ht="18" customHeight="1" thickBot="1" x14ac:dyDescent="0.25">
      <c r="A36" s="1">
        <v>27</v>
      </c>
      <c r="B36" s="32" t="s">
        <v>63</v>
      </c>
      <c r="C36" s="196" t="s">
        <v>69</v>
      </c>
      <c r="D36" s="35">
        <v>3364686395</v>
      </c>
      <c r="E36" s="35">
        <v>721004228</v>
      </c>
      <c r="F36" s="20">
        <v>1040672572.9834342</v>
      </c>
      <c r="G36" s="36" t="s">
        <v>85</v>
      </c>
      <c r="H36" s="36">
        <v>1234</v>
      </c>
      <c r="I36" s="37">
        <v>721004228</v>
      </c>
      <c r="J36" s="38" t="e">
        <f>I36/#REF!</f>
        <v>#REF!</v>
      </c>
      <c r="K36" s="353"/>
      <c r="L36" s="345"/>
      <c r="M36" s="39"/>
      <c r="N36" s="345"/>
      <c r="O36" s="37">
        <v>721004228</v>
      </c>
      <c r="P36" s="40" t="e">
        <f>O36/#REF!</f>
        <v>#REF!</v>
      </c>
      <c r="Q36" s="351"/>
      <c r="R36" s="345"/>
      <c r="S36" s="197">
        <f>'[2]CUADRO COLEGIOS'!$E$21</f>
        <v>166215664.98343426</v>
      </c>
      <c r="T36" s="34">
        <v>142812212</v>
      </c>
      <c r="U36" s="42">
        <v>10640468</v>
      </c>
      <c r="V36" s="42">
        <f t="shared" si="44"/>
        <v>153452680</v>
      </c>
      <c r="W36" s="34">
        <f>217649890-T36</f>
        <v>74837678</v>
      </c>
      <c r="X36" s="42">
        <f>10882495-U36</f>
        <v>242027</v>
      </c>
      <c r="Y36" s="27">
        <f t="shared" si="2"/>
        <v>75079705</v>
      </c>
      <c r="Z36" s="93">
        <v>0</v>
      </c>
      <c r="AA36" s="93">
        <v>0</v>
      </c>
      <c r="AB36" s="93">
        <f t="shared" si="45"/>
        <v>0</v>
      </c>
      <c r="AC36" s="199">
        <v>0</v>
      </c>
      <c r="AD36" s="199">
        <v>0</v>
      </c>
      <c r="AE36" s="199">
        <f>AC36+AD36</f>
        <v>0</v>
      </c>
      <c r="AF36" s="43">
        <f t="shared" si="9"/>
        <v>0</v>
      </c>
      <c r="AG36" s="199"/>
      <c r="AH36" s="199"/>
      <c r="AI36" s="200">
        <v>0</v>
      </c>
      <c r="AJ36" s="334"/>
      <c r="AK36" s="336"/>
      <c r="AL36" s="34">
        <v>0</v>
      </c>
      <c r="AM36" s="42">
        <v>0</v>
      </c>
      <c r="AN36" s="96">
        <f t="shared" si="46"/>
        <v>0</v>
      </c>
      <c r="AO36" s="2"/>
      <c r="AP36" s="2"/>
      <c r="AQ36" s="2"/>
      <c r="AR36" s="292">
        <v>0.32</v>
      </c>
      <c r="AS36" s="296">
        <v>43798</v>
      </c>
      <c r="AT36" s="294">
        <v>43850</v>
      </c>
      <c r="AU36" s="294">
        <v>44125</v>
      </c>
    </row>
    <row r="37" spans="1:47" ht="18" customHeight="1" thickBot="1" x14ac:dyDescent="0.25">
      <c r="B37" s="207"/>
      <c r="C37" s="208"/>
      <c r="D37" s="209">
        <v>31639915770</v>
      </c>
      <c r="E37" s="209">
        <v>6779981950</v>
      </c>
      <c r="F37" s="209">
        <v>12648084094.480654</v>
      </c>
      <c r="G37" s="210"/>
      <c r="H37" s="210">
        <f t="shared" ref="H37:R37" si="47">SUM(H28:H36)</f>
        <v>8250</v>
      </c>
      <c r="I37" s="211">
        <f t="shared" si="47"/>
        <v>6779981950</v>
      </c>
      <c r="J37" s="211"/>
      <c r="K37" s="211">
        <f t="shared" si="47"/>
        <v>3117182495</v>
      </c>
      <c r="L37" s="211">
        <f t="shared" si="47"/>
        <v>4632000000</v>
      </c>
      <c r="M37" s="211">
        <f t="shared" si="47"/>
        <v>0</v>
      </c>
      <c r="N37" s="211">
        <f t="shared" si="47"/>
        <v>655402890</v>
      </c>
      <c r="O37" s="211">
        <f t="shared" si="47"/>
        <v>6779981950</v>
      </c>
      <c r="P37" s="211"/>
      <c r="Q37" s="211">
        <f t="shared" si="47"/>
        <v>2515084460</v>
      </c>
      <c r="R37" s="211">
        <f t="shared" si="47"/>
        <v>4264897491</v>
      </c>
      <c r="S37" s="211">
        <f t="shared" ref="S37:V37" si="48">SUM(S28:S36)</f>
        <v>1823194899.4806547</v>
      </c>
      <c r="T37" s="211">
        <f t="shared" si="48"/>
        <v>3066778980</v>
      </c>
      <c r="U37" s="211">
        <f t="shared" si="48"/>
        <v>190741220</v>
      </c>
      <c r="V37" s="211">
        <f t="shared" si="48"/>
        <v>3257520200</v>
      </c>
      <c r="W37" s="211">
        <f>SUM(W28:W36)</f>
        <v>3828604188</v>
      </c>
      <c r="X37" s="211">
        <f t="shared" ref="X37" si="49">SUM(X28:X36)</f>
        <v>141831960</v>
      </c>
      <c r="Y37" s="27">
        <f t="shared" si="2"/>
        <v>3970436148</v>
      </c>
      <c r="Z37" s="102">
        <f>SUM(Z28:Z36)</f>
        <v>0</v>
      </c>
      <c r="AA37" s="102">
        <f t="shared" ref="AA37:AB37" si="50">SUM(AA28:AA36)</f>
        <v>0</v>
      </c>
      <c r="AB37" s="102">
        <f t="shared" si="50"/>
        <v>0</v>
      </c>
      <c r="AC37" s="212">
        <f>SUM(AC28:AC36)</f>
        <v>1445130970</v>
      </c>
      <c r="AD37" s="212">
        <f t="shared" ref="AD37:AE37" si="51">SUM(AD28:AD36)</f>
        <v>67105700</v>
      </c>
      <c r="AE37" s="212">
        <f t="shared" si="51"/>
        <v>1512236670</v>
      </c>
      <c r="AF37" s="103">
        <f>SUM(AF28:AF36)</f>
        <v>1739665402.8000002</v>
      </c>
      <c r="AG37" s="103">
        <f t="shared" ref="AG37:AH37" si="52">SUM(AG28:AG36)</f>
        <v>0</v>
      </c>
      <c r="AH37" s="103">
        <f t="shared" si="52"/>
        <v>787387045</v>
      </c>
      <c r="AI37" s="213">
        <f>SUM(AI28:AI36)</f>
        <v>400000000</v>
      </c>
      <c r="AJ37" s="105"/>
      <c r="AK37" s="106"/>
      <c r="AL37" s="211">
        <f>SUM(AL28:AL36)</f>
        <v>1030169793</v>
      </c>
      <c r="AM37" s="211">
        <f t="shared" ref="AM37:AN37" si="53">SUM(AM28:AM36)</f>
        <v>46357641</v>
      </c>
      <c r="AN37" s="211">
        <f t="shared" si="53"/>
        <v>1076527434</v>
      </c>
      <c r="AO37" s="2"/>
      <c r="AP37" s="2"/>
      <c r="AQ37" s="2"/>
      <c r="AR37" s="299"/>
      <c r="AS37" s="300"/>
      <c r="AT37" s="299"/>
      <c r="AU37" s="299"/>
    </row>
    <row r="38" spans="1:47" ht="18" customHeight="1" thickBot="1" x14ac:dyDescent="0.25">
      <c r="A38" s="1">
        <v>28</v>
      </c>
      <c r="B38" s="107" t="s">
        <v>70</v>
      </c>
      <c r="C38" s="108" t="s">
        <v>71</v>
      </c>
      <c r="D38" s="110">
        <v>3211824997</v>
      </c>
      <c r="E38" s="110">
        <v>688248214</v>
      </c>
      <c r="F38" s="20">
        <v>811817967.24907315</v>
      </c>
      <c r="G38" s="111" t="s">
        <v>85</v>
      </c>
      <c r="H38" s="111">
        <v>1016</v>
      </c>
      <c r="I38" s="112">
        <v>688248214</v>
      </c>
      <c r="J38" s="113" t="e">
        <f>I38/#REF!</f>
        <v>#REF!</v>
      </c>
      <c r="K38" s="114">
        <v>688297695</v>
      </c>
      <c r="L38" s="214"/>
      <c r="M38" s="214"/>
      <c r="N38" s="112">
        <v>62089348</v>
      </c>
      <c r="O38" s="112">
        <v>688248214</v>
      </c>
      <c r="P38" s="117" t="e">
        <f>O38/#REF!</f>
        <v>#REF!</v>
      </c>
      <c r="Q38" s="118">
        <v>255310766</v>
      </c>
      <c r="R38" s="112">
        <v>432937447</v>
      </c>
      <c r="S38" s="119">
        <f>'[2]CUADRO COLEGIOS'!$E$18</f>
        <v>123569753.24907313</v>
      </c>
      <c r="T38" s="215">
        <v>0</v>
      </c>
      <c r="U38" s="216">
        <v>0</v>
      </c>
      <c r="V38" s="216">
        <f>T38+U38</f>
        <v>0</v>
      </c>
      <c r="W38" s="215">
        <v>607700563</v>
      </c>
      <c r="X38" s="216">
        <v>30385028</v>
      </c>
      <c r="Y38" s="27">
        <f t="shared" si="2"/>
        <v>638085591</v>
      </c>
      <c r="Z38" s="121">
        <v>0</v>
      </c>
      <c r="AA38" s="121">
        <v>0</v>
      </c>
      <c r="AB38" s="121">
        <f>Z38+AA38</f>
        <v>0</v>
      </c>
      <c r="AC38" s="122">
        <v>0</v>
      </c>
      <c r="AD38" s="122">
        <v>0</v>
      </c>
      <c r="AE38" s="122">
        <v>0</v>
      </c>
      <c r="AF38" s="217"/>
      <c r="AG38" s="122">
        <v>0</v>
      </c>
      <c r="AH38" s="122">
        <v>0</v>
      </c>
      <c r="AI38" s="218">
        <v>0</v>
      </c>
      <c r="AJ38" s="125">
        <v>62089348</v>
      </c>
      <c r="AK38" s="126">
        <v>71354542</v>
      </c>
      <c r="AL38" s="215">
        <v>607700563</v>
      </c>
      <c r="AM38" s="216">
        <v>30385028</v>
      </c>
      <c r="AN38" s="42">
        <f t="shared" ref="AN38" si="54">AL38+AM38</f>
        <v>638085591</v>
      </c>
      <c r="AO38" s="2"/>
      <c r="AP38" s="2"/>
      <c r="AQ38" s="2"/>
      <c r="AR38" s="292">
        <v>0.08</v>
      </c>
      <c r="AS38" s="295" t="s">
        <v>98</v>
      </c>
      <c r="AT38" s="295" t="s">
        <v>98</v>
      </c>
      <c r="AU38" s="295" t="s">
        <v>98</v>
      </c>
    </row>
    <row r="39" spans="1:47" ht="18" customHeight="1" thickBot="1" x14ac:dyDescent="0.25">
      <c r="B39" s="127"/>
      <c r="C39" s="128"/>
      <c r="D39" s="130">
        <v>3211824997</v>
      </c>
      <c r="E39" s="130">
        <v>688248214</v>
      </c>
      <c r="F39" s="130">
        <v>811817967.24907315</v>
      </c>
      <c r="G39" s="131"/>
      <c r="H39" s="131">
        <f t="shared" ref="H39:V39" si="55">SUM(H38)</f>
        <v>1016</v>
      </c>
      <c r="I39" s="132">
        <f t="shared" si="55"/>
        <v>688248214</v>
      </c>
      <c r="J39" s="132"/>
      <c r="K39" s="132">
        <f t="shared" si="55"/>
        <v>688297695</v>
      </c>
      <c r="L39" s="132">
        <f t="shared" si="55"/>
        <v>0</v>
      </c>
      <c r="M39" s="132">
        <f t="shared" si="55"/>
        <v>0</v>
      </c>
      <c r="N39" s="132">
        <f t="shared" si="55"/>
        <v>62089348</v>
      </c>
      <c r="O39" s="132">
        <f t="shared" si="55"/>
        <v>688248214</v>
      </c>
      <c r="P39" s="132"/>
      <c r="Q39" s="132">
        <f t="shared" si="55"/>
        <v>255310766</v>
      </c>
      <c r="R39" s="132">
        <f t="shared" si="55"/>
        <v>432937447</v>
      </c>
      <c r="S39" s="132">
        <f t="shared" si="55"/>
        <v>123569753.24907313</v>
      </c>
      <c r="T39" s="132">
        <f t="shared" si="55"/>
        <v>0</v>
      </c>
      <c r="U39" s="132">
        <f t="shared" si="55"/>
        <v>0</v>
      </c>
      <c r="V39" s="132">
        <f t="shared" si="55"/>
        <v>0</v>
      </c>
      <c r="W39" s="132">
        <f>SUM(W38)</f>
        <v>607700563</v>
      </c>
      <c r="X39" s="132">
        <f t="shared" ref="X39" si="56">SUM(X38)</f>
        <v>30385028</v>
      </c>
      <c r="Y39" s="27">
        <f t="shared" si="2"/>
        <v>638085591</v>
      </c>
      <c r="Z39" s="133">
        <f>SUM(Z38)</f>
        <v>0</v>
      </c>
      <c r="AA39" s="133">
        <f t="shared" ref="AA39:AB39" si="57">SUM(AA38)</f>
        <v>0</v>
      </c>
      <c r="AB39" s="133">
        <f t="shared" si="57"/>
        <v>0</v>
      </c>
      <c r="AC39" s="134">
        <f>SUM(AC38)</f>
        <v>0</v>
      </c>
      <c r="AD39" s="134">
        <f t="shared" ref="AD39:AE39" si="58">SUM(AD38)</f>
        <v>0</v>
      </c>
      <c r="AE39" s="134">
        <f t="shared" si="58"/>
        <v>0</v>
      </c>
      <c r="AF39" s="135">
        <f>SUM(AF38)</f>
        <v>0</v>
      </c>
      <c r="AG39" s="135">
        <f t="shared" ref="AG39:AH39" si="59">SUM(AG38)</f>
        <v>0</v>
      </c>
      <c r="AH39" s="135">
        <f t="shared" si="59"/>
        <v>0</v>
      </c>
      <c r="AI39" s="136">
        <f>AI38</f>
        <v>0</v>
      </c>
      <c r="AJ39" s="137"/>
      <c r="AK39" s="138"/>
      <c r="AL39" s="132">
        <f>SUM(AL38)</f>
        <v>607700563</v>
      </c>
      <c r="AM39" s="132">
        <f t="shared" ref="AM39:AN39" si="60">SUM(AM38)</f>
        <v>30385028</v>
      </c>
      <c r="AN39" s="132">
        <f t="shared" si="60"/>
        <v>638085591</v>
      </c>
      <c r="AO39" s="2"/>
      <c r="AP39" s="2"/>
      <c r="AQ39" s="2"/>
      <c r="AR39" s="299"/>
      <c r="AS39" s="300"/>
      <c r="AT39" s="299"/>
      <c r="AU39" s="299"/>
    </row>
    <row r="40" spans="1:47" ht="18" customHeight="1" thickBot="1" x14ac:dyDescent="0.25">
      <c r="A40" s="1">
        <v>29</v>
      </c>
      <c r="B40" s="159" t="s">
        <v>72</v>
      </c>
      <c r="C40" s="219" t="s">
        <v>73</v>
      </c>
      <c r="D40" s="220">
        <v>4946023847</v>
      </c>
      <c r="E40" s="220">
        <v>2119724506</v>
      </c>
      <c r="F40" s="20">
        <v>0</v>
      </c>
      <c r="G40" s="221" t="s">
        <v>87</v>
      </c>
      <c r="H40" s="221">
        <v>960</v>
      </c>
      <c r="I40" s="164">
        <v>2119724506</v>
      </c>
      <c r="J40" s="165" t="e">
        <f>I40/#REF!</f>
        <v>#REF!</v>
      </c>
      <c r="K40" s="368">
        <f>793800000+1572644722+7549221820</f>
        <v>9915666542</v>
      </c>
      <c r="L40" s="359"/>
      <c r="M40" s="166"/>
      <c r="N40" s="362">
        <v>176875755</v>
      </c>
      <c r="O40" s="164"/>
      <c r="P40" s="167"/>
      <c r="Q40" s="364">
        <v>722851655</v>
      </c>
      <c r="R40" s="364">
        <v>1225759317</v>
      </c>
      <c r="S40" s="201">
        <v>0</v>
      </c>
      <c r="T40" s="222">
        <v>0</v>
      </c>
      <c r="U40" s="223">
        <v>0</v>
      </c>
      <c r="V40" s="223">
        <f t="shared" ref="V40:V45" si="61">T40+U40</f>
        <v>0</v>
      </c>
      <c r="W40" s="222">
        <v>1892447747</v>
      </c>
      <c r="X40" s="223">
        <f>85160149</f>
        <v>85160149</v>
      </c>
      <c r="Y40" s="27">
        <f t="shared" si="2"/>
        <v>1977607896</v>
      </c>
      <c r="Z40" s="202">
        <v>0</v>
      </c>
      <c r="AA40" s="202">
        <v>0</v>
      </c>
      <c r="AB40" s="202">
        <f>Z40+AA40</f>
        <v>0</v>
      </c>
      <c r="AC40" s="223">
        <v>0</v>
      </c>
      <c r="AD40" s="223">
        <v>0</v>
      </c>
      <c r="AE40" s="223">
        <f>AC40+AD40</f>
        <v>0</v>
      </c>
      <c r="AF40" s="224"/>
      <c r="AG40" s="223">
        <v>0</v>
      </c>
      <c r="AH40" s="223">
        <v>0</v>
      </c>
      <c r="AI40" s="225">
        <v>0</v>
      </c>
      <c r="AJ40" s="354">
        <v>176875755</v>
      </c>
      <c r="AK40" s="355">
        <v>1373102271</v>
      </c>
      <c r="AL40" s="222">
        <f>Z40</f>
        <v>0</v>
      </c>
      <c r="AM40" s="223">
        <f>AA40</f>
        <v>0</v>
      </c>
      <c r="AN40" s="173">
        <f t="shared" ref="AN40:AN45" si="62">AL40+AM40</f>
        <v>0</v>
      </c>
      <c r="AO40" s="2"/>
      <c r="AP40" s="2"/>
      <c r="AQ40" s="2"/>
      <c r="AR40" s="292">
        <v>0</v>
      </c>
      <c r="AS40" s="296">
        <v>43743</v>
      </c>
      <c r="AT40" s="294">
        <v>43795</v>
      </c>
      <c r="AU40" s="294">
        <v>44185</v>
      </c>
    </row>
    <row r="41" spans="1:47" ht="18" customHeight="1" thickBot="1" x14ac:dyDescent="0.25">
      <c r="A41" s="1">
        <v>30</v>
      </c>
      <c r="B41" s="64" t="s">
        <v>72</v>
      </c>
      <c r="C41" s="65" t="s">
        <v>74</v>
      </c>
      <c r="D41" s="226">
        <v>1078798983</v>
      </c>
      <c r="E41" s="226">
        <v>231171211</v>
      </c>
      <c r="F41" s="20">
        <v>231171211</v>
      </c>
      <c r="G41" s="227" t="s">
        <v>87</v>
      </c>
      <c r="H41" s="227">
        <v>960</v>
      </c>
      <c r="I41" s="69">
        <v>231171211</v>
      </c>
      <c r="J41" s="70" t="e">
        <f>I41/#REF!</f>
        <v>#REF!</v>
      </c>
      <c r="K41" s="369"/>
      <c r="L41" s="360"/>
      <c r="M41" s="175"/>
      <c r="N41" s="344"/>
      <c r="O41" s="69">
        <v>231171211</v>
      </c>
      <c r="P41" s="72" t="e">
        <f>O41/#REF!</f>
        <v>#REF!</v>
      </c>
      <c r="Q41" s="350"/>
      <c r="R41" s="350"/>
      <c r="S41" s="81">
        <v>0</v>
      </c>
      <c r="T41" s="205">
        <v>0</v>
      </c>
      <c r="U41" s="82">
        <v>0</v>
      </c>
      <c r="V41" s="82">
        <f t="shared" si="61"/>
        <v>0</v>
      </c>
      <c r="W41" s="205">
        <v>1262051664</v>
      </c>
      <c r="X41" s="82">
        <v>56792325</v>
      </c>
      <c r="Y41" s="27">
        <f t="shared" si="2"/>
        <v>1318843989</v>
      </c>
      <c r="Z41" s="82">
        <v>621860531</v>
      </c>
      <c r="AA41" s="82">
        <v>27983724</v>
      </c>
      <c r="AB41" s="82">
        <f>SUM(Z41:AA41)</f>
        <v>649844255</v>
      </c>
      <c r="AC41" s="83">
        <f>979526471+47550849</f>
        <v>1027077320</v>
      </c>
      <c r="AD41" s="83">
        <v>44078691</v>
      </c>
      <c r="AE41" s="83">
        <f t="shared" ref="AE41:AE44" si="63">AC41+AD41</f>
        <v>1071156011</v>
      </c>
      <c r="AF41" s="76"/>
      <c r="AG41" s="86">
        <v>0</v>
      </c>
      <c r="AH41" s="86">
        <v>0</v>
      </c>
      <c r="AI41" s="84">
        <v>0</v>
      </c>
      <c r="AJ41" s="354"/>
      <c r="AK41" s="355"/>
      <c r="AL41" s="205">
        <f>Z41</f>
        <v>621860531</v>
      </c>
      <c r="AM41" s="82">
        <f>AA41</f>
        <v>27983724</v>
      </c>
      <c r="AN41" s="74">
        <f t="shared" si="62"/>
        <v>649844255</v>
      </c>
      <c r="AO41" s="2"/>
      <c r="AP41" s="2"/>
      <c r="AQ41" s="2"/>
      <c r="AR41" s="292">
        <v>0</v>
      </c>
      <c r="AS41" s="296">
        <v>43835</v>
      </c>
      <c r="AT41" s="294">
        <v>43887</v>
      </c>
      <c r="AU41" s="294">
        <v>44319</v>
      </c>
    </row>
    <row r="42" spans="1:47" ht="18" customHeight="1" thickBot="1" x14ac:dyDescent="0.25">
      <c r="A42" s="1">
        <v>31</v>
      </c>
      <c r="B42" s="64" t="s">
        <v>72</v>
      </c>
      <c r="C42" s="65" t="s">
        <v>75</v>
      </c>
      <c r="D42" s="226">
        <v>2524614332</v>
      </c>
      <c r="E42" s="226">
        <v>540988785</v>
      </c>
      <c r="F42" s="20">
        <v>540988785</v>
      </c>
      <c r="G42" s="227" t="s">
        <v>85</v>
      </c>
      <c r="H42" s="227">
        <v>785</v>
      </c>
      <c r="I42" s="69">
        <v>540988785</v>
      </c>
      <c r="J42" s="70" t="e">
        <f>I42/#REF!</f>
        <v>#REF!</v>
      </c>
      <c r="K42" s="369"/>
      <c r="L42" s="360"/>
      <c r="M42" s="175"/>
      <c r="N42" s="344"/>
      <c r="O42" s="69">
        <v>540988785</v>
      </c>
      <c r="P42" s="72" t="e">
        <f>O42/#REF!</f>
        <v>#REF!</v>
      </c>
      <c r="Q42" s="350"/>
      <c r="R42" s="350"/>
      <c r="S42" s="81">
        <v>0</v>
      </c>
      <c r="T42" s="205">
        <v>0</v>
      </c>
      <c r="U42" s="82">
        <v>0</v>
      </c>
      <c r="V42" s="82">
        <f t="shared" si="61"/>
        <v>0</v>
      </c>
      <c r="W42" s="205">
        <v>184314246</v>
      </c>
      <c r="X42" s="82">
        <v>11058855</v>
      </c>
      <c r="Y42" s="27">
        <f t="shared" si="2"/>
        <v>195373101</v>
      </c>
      <c r="Z42" s="82">
        <v>66228557</v>
      </c>
      <c r="AA42" s="82">
        <v>3976833</v>
      </c>
      <c r="AB42" s="82">
        <f t="shared" ref="AB42:AB45" si="64">SUM(Z42:AA42)</f>
        <v>70205390</v>
      </c>
      <c r="AC42" s="82">
        <v>0</v>
      </c>
      <c r="AD42" s="82">
        <v>0</v>
      </c>
      <c r="AE42" s="82">
        <f t="shared" si="63"/>
        <v>0</v>
      </c>
      <c r="AF42" s="76"/>
      <c r="AG42" s="82">
        <v>0</v>
      </c>
      <c r="AH42" s="82">
        <v>0</v>
      </c>
      <c r="AI42" s="228">
        <v>0</v>
      </c>
      <c r="AJ42" s="354"/>
      <c r="AK42" s="355"/>
      <c r="AL42" s="205">
        <f t="shared" ref="AL42:AM44" si="65">Z42</f>
        <v>66228557</v>
      </c>
      <c r="AM42" s="82">
        <f t="shared" si="65"/>
        <v>3976833</v>
      </c>
      <c r="AN42" s="74">
        <f t="shared" si="62"/>
        <v>70205390</v>
      </c>
      <c r="AO42" s="2"/>
      <c r="AP42" s="2"/>
      <c r="AQ42" s="2"/>
      <c r="AR42" s="292">
        <v>0.14000000000000001</v>
      </c>
      <c r="AS42" s="296">
        <v>43866</v>
      </c>
      <c r="AT42" s="294">
        <v>43918</v>
      </c>
      <c r="AU42" s="294">
        <v>44257</v>
      </c>
    </row>
    <row r="43" spans="1:47" ht="18" customHeight="1" thickBot="1" x14ac:dyDescent="0.25">
      <c r="A43" s="1">
        <v>32</v>
      </c>
      <c r="B43" s="64" t="s">
        <v>72</v>
      </c>
      <c r="C43" s="65" t="s">
        <v>91</v>
      </c>
      <c r="D43" s="226">
        <v>2382940737</v>
      </c>
      <c r="E43" s="226">
        <v>510630158</v>
      </c>
      <c r="F43" s="20">
        <v>510630158</v>
      </c>
      <c r="G43" s="227" t="s">
        <v>85</v>
      </c>
      <c r="H43" s="227">
        <v>886</v>
      </c>
      <c r="I43" s="69">
        <v>510630158</v>
      </c>
      <c r="J43" s="70" t="e">
        <f>I43/#REF!</f>
        <v>#REF!</v>
      </c>
      <c r="K43" s="369"/>
      <c r="L43" s="360"/>
      <c r="M43" s="175"/>
      <c r="N43" s="344"/>
      <c r="O43" s="69">
        <v>510630158</v>
      </c>
      <c r="P43" s="72" t="e">
        <f>O43/#REF!</f>
        <v>#REF!</v>
      </c>
      <c r="Q43" s="350"/>
      <c r="R43" s="350"/>
      <c r="S43" s="81">
        <v>0</v>
      </c>
      <c r="T43" s="205">
        <v>0</v>
      </c>
      <c r="U43" s="82">
        <v>0</v>
      </c>
      <c r="V43" s="82">
        <f t="shared" si="61"/>
        <v>0</v>
      </c>
      <c r="W43" s="205">
        <v>2031789994</v>
      </c>
      <c r="X43" s="82">
        <v>101589500</v>
      </c>
      <c r="Y43" s="27">
        <f t="shared" si="2"/>
        <v>2133379494</v>
      </c>
      <c r="Z43" s="82">
        <v>197067914</v>
      </c>
      <c r="AA43" s="82">
        <v>10838735</v>
      </c>
      <c r="AB43" s="82">
        <f t="shared" si="64"/>
        <v>207906649</v>
      </c>
      <c r="AC43" s="82">
        <v>0</v>
      </c>
      <c r="AD43" s="82">
        <v>0</v>
      </c>
      <c r="AE43" s="82">
        <f t="shared" si="63"/>
        <v>0</v>
      </c>
      <c r="AF43" s="76"/>
      <c r="AG43" s="86">
        <v>0</v>
      </c>
      <c r="AH43" s="86">
        <v>0</v>
      </c>
      <c r="AI43" s="84">
        <v>0</v>
      </c>
      <c r="AJ43" s="354"/>
      <c r="AK43" s="355"/>
      <c r="AL43" s="205">
        <f t="shared" si="65"/>
        <v>197067914</v>
      </c>
      <c r="AM43" s="82">
        <f t="shared" si="65"/>
        <v>10838735</v>
      </c>
      <c r="AN43" s="74">
        <f t="shared" si="62"/>
        <v>207906649</v>
      </c>
      <c r="AO43" s="2"/>
      <c r="AP43" s="2"/>
      <c r="AQ43" s="2"/>
      <c r="AR43" s="292">
        <v>0.13</v>
      </c>
      <c r="AS43" s="296">
        <v>43835</v>
      </c>
      <c r="AT43" s="294">
        <v>43887</v>
      </c>
      <c r="AU43" s="294">
        <v>44281</v>
      </c>
    </row>
    <row r="44" spans="1:47" ht="25.5" customHeight="1" thickBot="1" x14ac:dyDescent="0.25">
      <c r="A44" s="1">
        <v>33</v>
      </c>
      <c r="B44" s="64" t="s">
        <v>72</v>
      </c>
      <c r="C44" s="65" t="s">
        <v>92</v>
      </c>
      <c r="D44" s="226">
        <v>3107163819</v>
      </c>
      <c r="E44" s="226">
        <v>665820818</v>
      </c>
      <c r="F44" s="20">
        <v>665820818</v>
      </c>
      <c r="G44" s="227" t="s">
        <v>85</v>
      </c>
      <c r="H44" s="227">
        <v>886</v>
      </c>
      <c r="I44" s="69">
        <v>665820818</v>
      </c>
      <c r="J44" s="70" t="e">
        <f>I44/#REF!</f>
        <v>#REF!</v>
      </c>
      <c r="K44" s="369"/>
      <c r="L44" s="360"/>
      <c r="M44" s="175"/>
      <c r="N44" s="344"/>
      <c r="O44" s="69">
        <v>665820818</v>
      </c>
      <c r="P44" s="72" t="e">
        <f>O44/#REF!</f>
        <v>#REF!</v>
      </c>
      <c r="Q44" s="350"/>
      <c r="R44" s="350"/>
      <c r="S44" s="81">
        <v>0</v>
      </c>
      <c r="T44" s="205">
        <v>0</v>
      </c>
      <c r="U44" s="82">
        <v>0</v>
      </c>
      <c r="V44" s="82">
        <f t="shared" si="61"/>
        <v>0</v>
      </c>
      <c r="W44" s="205">
        <v>727366067</v>
      </c>
      <c r="X44" s="82">
        <v>36368303</v>
      </c>
      <c r="Y44" s="27">
        <f t="shared" si="2"/>
        <v>763734370</v>
      </c>
      <c r="Z44" s="82">
        <v>348219447</v>
      </c>
      <c r="AA44" s="82">
        <v>17410972</v>
      </c>
      <c r="AB44" s="82">
        <f t="shared" si="64"/>
        <v>365630419</v>
      </c>
      <c r="AC44" s="82">
        <v>0</v>
      </c>
      <c r="AD44" s="82">
        <v>0</v>
      </c>
      <c r="AE44" s="82">
        <f t="shared" si="63"/>
        <v>0</v>
      </c>
      <c r="AF44" s="76"/>
      <c r="AG44" s="86">
        <v>0</v>
      </c>
      <c r="AH44" s="86">
        <v>0</v>
      </c>
      <c r="AI44" s="84">
        <v>0</v>
      </c>
      <c r="AJ44" s="354"/>
      <c r="AK44" s="355"/>
      <c r="AL44" s="205">
        <f t="shared" si="65"/>
        <v>348219447</v>
      </c>
      <c r="AM44" s="82">
        <f t="shared" si="65"/>
        <v>17410972</v>
      </c>
      <c r="AN44" s="74">
        <f t="shared" si="62"/>
        <v>365630419</v>
      </c>
      <c r="AO44" s="2"/>
      <c r="AP44" s="2"/>
      <c r="AQ44" s="2"/>
      <c r="AR44" s="292">
        <v>0.13</v>
      </c>
      <c r="AS44" s="296">
        <v>43835</v>
      </c>
      <c r="AT44" s="294">
        <v>43887</v>
      </c>
      <c r="AU44" s="294">
        <v>44272</v>
      </c>
    </row>
    <row r="45" spans="1:47" ht="18" customHeight="1" thickBot="1" x14ac:dyDescent="0.25">
      <c r="A45" s="1">
        <v>34</v>
      </c>
      <c r="B45" s="32" t="s">
        <v>72</v>
      </c>
      <c r="C45" s="91" t="s">
        <v>76</v>
      </c>
      <c r="D45" s="229">
        <v>5521700627</v>
      </c>
      <c r="E45" s="229">
        <v>2366443126</v>
      </c>
      <c r="F45" s="20">
        <v>0</v>
      </c>
      <c r="G45" s="231" t="s">
        <v>87</v>
      </c>
      <c r="H45" s="231">
        <v>3700</v>
      </c>
      <c r="I45" s="37">
        <v>2366443126</v>
      </c>
      <c r="J45" s="38" t="e">
        <f>I45/#REF!</f>
        <v>#REF!</v>
      </c>
      <c r="K45" s="370"/>
      <c r="L45" s="367"/>
      <c r="M45" s="230"/>
      <c r="N45" s="345"/>
      <c r="O45" s="37"/>
      <c r="P45" s="40"/>
      <c r="Q45" s="351"/>
      <c r="R45" s="351"/>
      <c r="S45" s="197">
        <v>0</v>
      </c>
      <c r="T45" s="198">
        <v>0</v>
      </c>
      <c r="U45" s="232">
        <v>0</v>
      </c>
      <c r="V45" s="232">
        <f t="shared" si="61"/>
        <v>0</v>
      </c>
      <c r="W45" s="198">
        <v>600000000</v>
      </c>
      <c r="X45" s="232">
        <v>27000000</v>
      </c>
      <c r="Y45" s="27">
        <f t="shared" si="2"/>
        <v>627000000</v>
      </c>
      <c r="Z45" s="233">
        <v>357447878</v>
      </c>
      <c r="AA45" s="233">
        <v>16085155</v>
      </c>
      <c r="AB45" s="234">
        <f t="shared" si="64"/>
        <v>373533033</v>
      </c>
      <c r="AC45" s="199">
        <v>0</v>
      </c>
      <c r="AD45" s="199">
        <v>0</v>
      </c>
      <c r="AE45" s="199">
        <f>AC45+AD45</f>
        <v>0</v>
      </c>
      <c r="AF45" s="94"/>
      <c r="AG45" s="93">
        <v>0</v>
      </c>
      <c r="AH45" s="93">
        <v>0</v>
      </c>
      <c r="AI45" s="235">
        <v>0</v>
      </c>
      <c r="AJ45" s="334"/>
      <c r="AK45" s="336"/>
      <c r="AL45" s="205">
        <v>0</v>
      </c>
      <c r="AM45" s="82">
        <v>0</v>
      </c>
      <c r="AN45" s="96">
        <f t="shared" si="62"/>
        <v>0</v>
      </c>
      <c r="AO45" s="2"/>
      <c r="AP45" s="2"/>
      <c r="AQ45" s="2"/>
      <c r="AR45" s="292">
        <v>0</v>
      </c>
      <c r="AS45" s="296">
        <v>43774</v>
      </c>
      <c r="AT45" s="294">
        <v>44001</v>
      </c>
      <c r="AU45" s="294">
        <v>44391</v>
      </c>
    </row>
    <row r="46" spans="1:47" ht="18" customHeight="1" thickBot="1" x14ac:dyDescent="0.25">
      <c r="B46" s="127"/>
      <c r="C46" s="128"/>
      <c r="D46" s="130">
        <v>19561242345</v>
      </c>
      <c r="E46" s="130">
        <v>6434778604</v>
      </c>
      <c r="F46" s="130">
        <v>1948610972</v>
      </c>
      <c r="G46" s="131"/>
      <c r="H46" s="131">
        <f t="shared" ref="H46:V46" si="66">SUM(H40:H45)</f>
        <v>8177</v>
      </c>
      <c r="I46" s="132">
        <f t="shared" si="66"/>
        <v>6434778604</v>
      </c>
      <c r="J46" s="132"/>
      <c r="K46" s="132">
        <f t="shared" si="66"/>
        <v>9915666542</v>
      </c>
      <c r="L46" s="132">
        <f t="shared" si="66"/>
        <v>0</v>
      </c>
      <c r="M46" s="132">
        <f t="shared" si="66"/>
        <v>0</v>
      </c>
      <c r="N46" s="132">
        <f t="shared" si="66"/>
        <v>176875755</v>
      </c>
      <c r="O46" s="132">
        <f t="shared" si="66"/>
        <v>1948610972</v>
      </c>
      <c r="P46" s="132"/>
      <c r="Q46" s="132">
        <f t="shared" si="66"/>
        <v>722851655</v>
      </c>
      <c r="R46" s="132">
        <f t="shared" si="66"/>
        <v>1225759317</v>
      </c>
      <c r="S46" s="132">
        <f t="shared" si="66"/>
        <v>0</v>
      </c>
      <c r="T46" s="132">
        <f t="shared" si="66"/>
        <v>0</v>
      </c>
      <c r="U46" s="132">
        <f t="shared" si="66"/>
        <v>0</v>
      </c>
      <c r="V46" s="132">
        <f t="shared" si="66"/>
        <v>0</v>
      </c>
      <c r="W46" s="132">
        <f>SUM(W40:W45)</f>
        <v>6697969718</v>
      </c>
      <c r="X46" s="132">
        <f t="shared" ref="X46" si="67">SUM(X40:X45)</f>
        <v>317969132</v>
      </c>
      <c r="Y46" s="27">
        <f t="shared" si="2"/>
        <v>7015938850</v>
      </c>
      <c r="Z46" s="236">
        <f>SUM(Z40:Z45)</f>
        <v>1590824327</v>
      </c>
      <c r="AA46" s="236">
        <f t="shared" ref="AA46" si="68">SUM(AA40:AA45)</f>
        <v>76295419</v>
      </c>
      <c r="AB46" s="236">
        <f>SUM(AB40:AB45)</f>
        <v>1667119746</v>
      </c>
      <c r="AC46" s="134">
        <f>SUM(AC40:AC45)</f>
        <v>1027077320</v>
      </c>
      <c r="AD46" s="134">
        <f t="shared" ref="AD46:AE46" si="69">SUM(AD40:AD45)</f>
        <v>44078691</v>
      </c>
      <c r="AE46" s="134">
        <f t="shared" si="69"/>
        <v>1071156011</v>
      </c>
      <c r="AF46" s="135">
        <f>SUM(AF40:AF45)</f>
        <v>0</v>
      </c>
      <c r="AG46" s="135">
        <f t="shared" ref="AG46:AH46" si="70">SUM(AG40:AG45)</f>
        <v>0</v>
      </c>
      <c r="AH46" s="135">
        <f t="shared" si="70"/>
        <v>0</v>
      </c>
      <c r="AI46" s="191">
        <f>SUM(AI40:AI45)</f>
        <v>0</v>
      </c>
      <c r="AJ46" s="192"/>
      <c r="AK46" s="193"/>
      <c r="AL46" s="132">
        <f>SUM(AL40:AL45)</f>
        <v>1233376449</v>
      </c>
      <c r="AM46" s="132">
        <f t="shared" ref="AM46:AN46" si="71">SUM(AM40:AM45)</f>
        <v>60210264</v>
      </c>
      <c r="AN46" s="132">
        <f t="shared" si="71"/>
        <v>1293586713</v>
      </c>
      <c r="AO46" s="2"/>
      <c r="AP46" s="2"/>
      <c r="AQ46" s="2"/>
      <c r="AR46" s="299"/>
      <c r="AS46" s="300"/>
      <c r="AT46" s="299"/>
      <c r="AU46" s="299"/>
    </row>
    <row r="47" spans="1:47" ht="18" customHeight="1" thickBot="1" x14ac:dyDescent="0.25">
      <c r="A47" s="1">
        <v>35</v>
      </c>
      <c r="B47" s="159" t="s">
        <v>77</v>
      </c>
      <c r="C47" s="237" t="s">
        <v>78</v>
      </c>
      <c r="D47" s="220">
        <v>5532175195</v>
      </c>
      <c r="E47" s="220">
        <v>1134198111</v>
      </c>
      <c r="F47" s="20">
        <v>1134198111</v>
      </c>
      <c r="G47" s="163" t="s">
        <v>87</v>
      </c>
      <c r="H47" s="163">
        <v>960</v>
      </c>
      <c r="I47" s="164">
        <v>1134198111</v>
      </c>
      <c r="J47" s="165" t="e">
        <f>I47/#REF!</f>
        <v>#REF!</v>
      </c>
      <c r="K47" s="356">
        <f>1236734116+584540912+182739417</f>
        <v>2004014445</v>
      </c>
      <c r="L47" s="359"/>
      <c r="M47" s="166"/>
      <c r="N47" s="362">
        <v>172502854</v>
      </c>
      <c r="O47" s="164">
        <v>1134198111</v>
      </c>
      <c r="P47" s="167" t="e">
        <f>O47/#REF!</f>
        <v>#REF!</v>
      </c>
      <c r="Q47" s="364">
        <v>705367494</v>
      </c>
      <c r="R47" s="362">
        <v>1196110946</v>
      </c>
      <c r="S47" s="168">
        <v>0</v>
      </c>
      <c r="T47" s="222">
        <v>0</v>
      </c>
      <c r="U47" s="223">
        <v>0</v>
      </c>
      <c r="V47" s="223">
        <f>T47+U47</f>
        <v>0</v>
      </c>
      <c r="W47" s="222">
        <v>3618430250</v>
      </c>
      <c r="X47" s="223">
        <v>162829361</v>
      </c>
      <c r="Y47" s="27">
        <f t="shared" si="2"/>
        <v>3781259611</v>
      </c>
      <c r="Z47" s="238">
        <v>0</v>
      </c>
      <c r="AA47" s="238">
        <v>0</v>
      </c>
      <c r="AB47" s="238">
        <f>Z47+AA47</f>
        <v>0</v>
      </c>
      <c r="AC47" s="238"/>
      <c r="AD47" s="238"/>
      <c r="AE47" s="238"/>
      <c r="AF47" s="224"/>
      <c r="AG47" s="169">
        <v>0</v>
      </c>
      <c r="AH47" s="169">
        <v>0</v>
      </c>
      <c r="AI47" s="195">
        <f>'[1]URBANISMO - 10 DE OCTUBRE 2018'!H47</f>
        <v>156499331</v>
      </c>
      <c r="AJ47" s="354">
        <v>172502854</v>
      </c>
      <c r="AK47" s="355">
        <v>277060609.17000002</v>
      </c>
      <c r="AL47" s="222">
        <v>0</v>
      </c>
      <c r="AM47" s="223">
        <v>0</v>
      </c>
      <c r="AN47" s="173">
        <f t="shared" ref="AN47:AN48" si="72">AL47+AM47</f>
        <v>0</v>
      </c>
      <c r="AO47" s="2"/>
      <c r="AP47" s="2"/>
      <c r="AQ47" s="2"/>
      <c r="AR47" s="292">
        <v>0</v>
      </c>
      <c r="AS47" s="296">
        <v>43835</v>
      </c>
      <c r="AT47" s="294">
        <v>43887</v>
      </c>
      <c r="AU47" s="294">
        <v>44247</v>
      </c>
    </row>
    <row r="48" spans="1:47" ht="18" customHeight="1" thickBot="1" x14ac:dyDescent="0.25">
      <c r="A48" s="1">
        <v>36</v>
      </c>
      <c r="B48" s="32" t="s">
        <v>77</v>
      </c>
      <c r="C48" s="91" t="s">
        <v>79</v>
      </c>
      <c r="D48" s="229">
        <v>3580641537</v>
      </c>
      <c r="E48" s="229">
        <v>767280329</v>
      </c>
      <c r="F48" s="20">
        <v>1005452122.7444851</v>
      </c>
      <c r="G48" s="36" t="s">
        <v>85</v>
      </c>
      <c r="H48" s="36">
        <v>1241</v>
      </c>
      <c r="I48" s="37">
        <v>767280329</v>
      </c>
      <c r="J48" s="38" t="e">
        <f>I48/#REF!</f>
        <v>#REF!</v>
      </c>
      <c r="K48" s="353"/>
      <c r="L48" s="367"/>
      <c r="M48" s="230"/>
      <c r="N48" s="345"/>
      <c r="O48" s="37">
        <v>767280329</v>
      </c>
      <c r="P48" s="40" t="e">
        <f>O48/#REF!</f>
        <v>#REF!</v>
      </c>
      <c r="Q48" s="351"/>
      <c r="R48" s="345"/>
      <c r="S48" s="197">
        <f>'[2]CUADRO COLEGIOS'!$E$22</f>
        <v>238171793.74448508</v>
      </c>
      <c r="T48" s="198">
        <v>0</v>
      </c>
      <c r="U48" s="232">
        <v>0</v>
      </c>
      <c r="V48" s="232">
        <f>T48+U48</f>
        <v>0</v>
      </c>
      <c r="W48" s="198">
        <v>0</v>
      </c>
      <c r="X48" s="232">
        <v>0</v>
      </c>
      <c r="Y48" s="27">
        <f t="shared" si="2"/>
        <v>0</v>
      </c>
      <c r="Z48" s="239">
        <v>0</v>
      </c>
      <c r="AA48" s="239">
        <v>0</v>
      </c>
      <c r="AB48" s="239">
        <f>Z48+AA48</f>
        <v>0</v>
      </c>
      <c r="AC48" s="239">
        <v>434484866</v>
      </c>
      <c r="AD48" s="239">
        <v>19551819</v>
      </c>
      <c r="AE48" s="239">
        <f>AC48+AD48</f>
        <v>454036685</v>
      </c>
      <c r="AF48" s="94"/>
      <c r="AG48" s="199">
        <v>0</v>
      </c>
      <c r="AH48" s="199">
        <v>0</v>
      </c>
      <c r="AI48" s="200">
        <v>0</v>
      </c>
      <c r="AJ48" s="334"/>
      <c r="AK48" s="336"/>
      <c r="AL48" s="198">
        <f>AC48</f>
        <v>434484866</v>
      </c>
      <c r="AM48" s="232">
        <f>AD48</f>
        <v>19551819</v>
      </c>
      <c r="AN48" s="42">
        <f t="shared" si="72"/>
        <v>454036685</v>
      </c>
      <c r="AO48" s="2"/>
      <c r="AP48" s="2"/>
      <c r="AQ48" s="2"/>
      <c r="AR48" s="292">
        <v>0.09</v>
      </c>
      <c r="AS48" s="296">
        <v>43835</v>
      </c>
      <c r="AT48" s="294">
        <v>43887</v>
      </c>
      <c r="AU48" s="294">
        <v>44300</v>
      </c>
    </row>
    <row r="49" spans="1:47" ht="18" customHeight="1" thickBot="1" x14ac:dyDescent="0.25">
      <c r="B49" s="240"/>
      <c r="C49" s="241"/>
      <c r="D49" s="242">
        <v>9112816732</v>
      </c>
      <c r="E49" s="242">
        <v>1901478440</v>
      </c>
      <c r="F49" s="242">
        <v>2139650233.7444851</v>
      </c>
      <c r="G49" s="243"/>
      <c r="H49" s="243">
        <f t="shared" ref="H49:R49" si="73">SUM(H47:H48)</f>
        <v>2201</v>
      </c>
      <c r="I49" s="244">
        <f t="shared" si="73"/>
        <v>1901478440</v>
      </c>
      <c r="J49" s="244"/>
      <c r="K49" s="244">
        <f t="shared" si="73"/>
        <v>2004014445</v>
      </c>
      <c r="L49" s="244">
        <f t="shared" si="73"/>
        <v>0</v>
      </c>
      <c r="M49" s="244">
        <f t="shared" si="73"/>
        <v>0</v>
      </c>
      <c r="N49" s="244">
        <f t="shared" si="73"/>
        <v>172502854</v>
      </c>
      <c r="O49" s="244">
        <f t="shared" si="73"/>
        <v>1901478440</v>
      </c>
      <c r="P49" s="244"/>
      <c r="Q49" s="244">
        <f t="shared" si="73"/>
        <v>705367494</v>
      </c>
      <c r="R49" s="244">
        <f t="shared" si="73"/>
        <v>1196110946</v>
      </c>
      <c r="S49" s="244">
        <f t="shared" ref="S49:V49" si="74">SUM(S47:S48)</f>
        <v>238171793.74448508</v>
      </c>
      <c r="T49" s="244">
        <f t="shared" si="74"/>
        <v>0</v>
      </c>
      <c r="U49" s="244">
        <f t="shared" si="74"/>
        <v>0</v>
      </c>
      <c r="V49" s="244">
        <f t="shared" si="74"/>
        <v>0</v>
      </c>
      <c r="W49" s="244">
        <f>SUM(W47:W48)</f>
        <v>3618430250</v>
      </c>
      <c r="X49" s="244">
        <f t="shared" ref="X49" si="75">SUM(X47:X48)</f>
        <v>162829361</v>
      </c>
      <c r="Y49" s="27">
        <f t="shared" si="2"/>
        <v>3781259611</v>
      </c>
      <c r="Z49" s="245">
        <f>SUM(Z47:Z48)</f>
        <v>0</v>
      </c>
      <c r="AA49" s="245">
        <f t="shared" ref="AA49:AB49" si="76">SUM(AA47:AA48)</f>
        <v>0</v>
      </c>
      <c r="AB49" s="245">
        <f t="shared" si="76"/>
        <v>0</v>
      </c>
      <c r="AC49" s="246">
        <f>SUM(AC47:AC48)</f>
        <v>434484866</v>
      </c>
      <c r="AD49" s="245">
        <f t="shared" ref="AD49:AE49" si="77">SUM(AD47:AD48)</f>
        <v>19551819</v>
      </c>
      <c r="AE49" s="247">
        <f t="shared" si="77"/>
        <v>454036685</v>
      </c>
      <c r="AF49" s="248">
        <f>SUM(AF47:AF48)</f>
        <v>0</v>
      </c>
      <c r="AG49" s="249">
        <f t="shared" ref="AG49:AH49" si="78">SUM(AG47:AG48)</f>
        <v>0</v>
      </c>
      <c r="AH49" s="249">
        <f t="shared" si="78"/>
        <v>0</v>
      </c>
      <c r="AI49" s="249">
        <f>SUM(AI47:AI48)</f>
        <v>156499331</v>
      </c>
      <c r="AJ49" s="192"/>
      <c r="AK49" s="193"/>
      <c r="AL49" s="250">
        <f>SUM(AL47:AL48)</f>
        <v>434484866</v>
      </c>
      <c r="AM49" s="244">
        <f t="shared" ref="AM49:AN49" si="79">SUM(AM47:AM48)</f>
        <v>19551819</v>
      </c>
      <c r="AN49" s="251">
        <f t="shared" si="79"/>
        <v>454036685</v>
      </c>
      <c r="AO49" s="2"/>
      <c r="AP49" s="2"/>
      <c r="AQ49" s="2"/>
      <c r="AR49" s="299"/>
      <c r="AS49" s="300"/>
      <c r="AT49" s="299"/>
      <c r="AU49" s="299"/>
    </row>
    <row r="50" spans="1:47" ht="18" customHeight="1" thickBot="1" x14ac:dyDescent="0.25">
      <c r="B50" s="252"/>
      <c r="C50" s="253"/>
      <c r="D50" s="254"/>
      <c r="E50" s="254"/>
      <c r="F50" s="254"/>
      <c r="G50" s="256"/>
      <c r="H50" s="256"/>
      <c r="I50" s="257"/>
      <c r="J50" s="258"/>
      <c r="K50" s="259"/>
      <c r="L50" s="255"/>
      <c r="M50" s="255"/>
      <c r="N50" s="255"/>
      <c r="O50" s="257"/>
      <c r="P50" s="260"/>
      <c r="Q50" s="261"/>
      <c r="R50" s="262" t="s">
        <v>80</v>
      </c>
      <c r="S50" s="263">
        <f>614458999+368368606</f>
        <v>982827605</v>
      </c>
      <c r="T50" s="263"/>
      <c r="U50" s="263"/>
      <c r="V50" s="263"/>
      <c r="W50" s="264"/>
      <c r="X50" s="265"/>
      <c r="Y50" s="27">
        <f t="shared" si="2"/>
        <v>0</v>
      </c>
      <c r="Z50" s="265"/>
      <c r="AA50" s="265"/>
      <c r="AB50" s="265"/>
      <c r="AC50" s="266"/>
      <c r="AD50" s="266"/>
      <c r="AE50" s="266"/>
      <c r="AF50" s="266"/>
      <c r="AG50" s="266"/>
      <c r="AH50" s="266"/>
      <c r="AI50" s="266"/>
      <c r="AJ50" s="267"/>
      <c r="AK50" s="267"/>
      <c r="AL50" s="264"/>
      <c r="AM50" s="265"/>
      <c r="AN50" s="265"/>
      <c r="AO50" s="2"/>
      <c r="AP50" s="2"/>
      <c r="AQ50" s="2"/>
      <c r="AR50" s="277"/>
      <c r="AS50" s="295"/>
      <c r="AT50" s="277"/>
      <c r="AU50" s="277"/>
    </row>
    <row r="51" spans="1:47" s="272" customFormat="1" ht="18" customHeight="1" x14ac:dyDescent="0.2">
      <c r="A51" s="268"/>
      <c r="B51" s="373" t="s">
        <v>81</v>
      </c>
      <c r="C51" s="373"/>
      <c r="D51" s="269">
        <v>130884988283</v>
      </c>
      <c r="E51" s="269">
        <v>34533469792</v>
      </c>
      <c r="F51" s="269">
        <v>42125251650.400764</v>
      </c>
      <c r="G51" s="270"/>
      <c r="H51" s="270">
        <f t="shared" ref="H51:V51" si="80">H6+H16+H18+H20+H24+H27+H37+H39+H46+H49</f>
        <v>40002</v>
      </c>
      <c r="I51" s="271">
        <f t="shared" si="80"/>
        <v>34533469792</v>
      </c>
      <c r="J51" s="271"/>
      <c r="K51" s="271">
        <f t="shared" si="80"/>
        <v>31113662163</v>
      </c>
      <c r="L51" s="271">
        <f t="shared" si="80"/>
        <v>10996393726</v>
      </c>
      <c r="M51" s="271">
        <f t="shared" si="80"/>
        <v>0</v>
      </c>
      <c r="N51" s="271">
        <f t="shared" si="80"/>
        <v>2064252132</v>
      </c>
      <c r="O51" s="271">
        <f t="shared" si="80"/>
        <v>27842084218.200001</v>
      </c>
      <c r="P51" s="271"/>
      <c r="Q51" s="271">
        <f t="shared" si="80"/>
        <v>8395744882</v>
      </c>
      <c r="R51" s="271">
        <f t="shared" si="80"/>
        <v>14253807000</v>
      </c>
      <c r="S51" s="271">
        <f>S6+S16+S18+S20+S24+S27+S37+S39+S46+S49+S50</f>
        <v>5869329818.3822794</v>
      </c>
      <c r="T51" s="271">
        <f t="shared" si="80"/>
        <v>8659413091</v>
      </c>
      <c r="U51" s="271">
        <f t="shared" si="80"/>
        <v>563559813</v>
      </c>
      <c r="V51" s="271">
        <f t="shared" si="80"/>
        <v>9222972904</v>
      </c>
      <c r="W51" s="271">
        <f>W6+W16+W18+W20+W24+W27+W37+W39+W46+W49</f>
        <v>16740078939</v>
      </c>
      <c r="X51" s="271">
        <f t="shared" ref="X51:AI51" si="81">X6+X16+X18+X20+X24+X27+X37+X39+X46+X49</f>
        <v>758700985</v>
      </c>
      <c r="Y51" s="27">
        <f t="shared" si="2"/>
        <v>17498779924</v>
      </c>
      <c r="Z51" s="271">
        <f t="shared" si="81"/>
        <v>1590824327</v>
      </c>
      <c r="AA51" s="271">
        <f t="shared" si="81"/>
        <v>76295419</v>
      </c>
      <c r="AB51" s="271">
        <f t="shared" si="81"/>
        <v>1667119746</v>
      </c>
      <c r="AC51" s="271">
        <f t="shared" si="81"/>
        <v>6743577830</v>
      </c>
      <c r="AD51" s="271">
        <f t="shared" si="81"/>
        <v>301271911</v>
      </c>
      <c r="AE51" s="271">
        <f t="shared" si="81"/>
        <v>7044849741</v>
      </c>
      <c r="AF51" s="271">
        <f>AF6+AF16+AF18+AF20+AF24+AF27+AF37+AF39+AF46+AF49</f>
        <v>8022250785.0999994</v>
      </c>
      <c r="AG51" s="271">
        <f t="shared" si="81"/>
        <v>0</v>
      </c>
      <c r="AH51" s="271">
        <f t="shared" si="81"/>
        <v>4503164156</v>
      </c>
      <c r="AI51" s="271">
        <f t="shared" si="81"/>
        <v>2146678624.2</v>
      </c>
      <c r="AJ51" s="271">
        <f t="shared" ref="AJ51:AK51" si="82">SUM(AJ4:AJ48)</f>
        <v>2064252132</v>
      </c>
      <c r="AK51" s="271">
        <f t="shared" si="82"/>
        <v>4179864908.4400001</v>
      </c>
      <c r="AL51" s="271">
        <f>AL6+AL16+AL18+AL20+AL24+AL27+AL37+AL39+AL46+AL49</f>
        <v>6769523245</v>
      </c>
      <c r="AM51" s="271">
        <f t="shared" ref="AM51:AN51" si="83">AM6+AM16+AM18+AM20+AM24+AM27+AM37+AM39+AM46+AM49</f>
        <v>299340610</v>
      </c>
      <c r="AN51" s="271">
        <f t="shared" si="83"/>
        <v>7068863855</v>
      </c>
      <c r="AR51" s="293"/>
      <c r="AS51" s="297"/>
      <c r="AT51" s="293"/>
      <c r="AU51" s="293"/>
    </row>
    <row r="52" spans="1:47" ht="20" thickBot="1" x14ac:dyDescent="0.25">
      <c r="G52" s="274"/>
      <c r="H52" s="275" t="e">
        <f>#REF!</f>
        <v>#REF!</v>
      </c>
      <c r="I52" s="275" t="e">
        <f>#REF!</f>
        <v>#REF!</v>
      </c>
      <c r="J52" s="275">
        <f>G51</f>
        <v>0</v>
      </c>
      <c r="K52" s="275">
        <f>H51</f>
        <v>40002</v>
      </c>
      <c r="L52" s="276">
        <f>I51</f>
        <v>34533469792</v>
      </c>
      <c r="M52" s="277"/>
      <c r="N52" s="278">
        <f>K51</f>
        <v>31113662163</v>
      </c>
      <c r="O52" s="276">
        <f>L51</f>
        <v>10996393726</v>
      </c>
      <c r="P52" s="276">
        <f>M51</f>
        <v>0</v>
      </c>
      <c r="Q52" s="276">
        <f>N51</f>
        <v>2064252132</v>
      </c>
      <c r="R52" s="276">
        <f>O51</f>
        <v>27842084218.200001</v>
      </c>
      <c r="S52" s="279"/>
      <c r="T52" s="276">
        <f>Q51</f>
        <v>8395744882</v>
      </c>
      <c r="U52" s="276">
        <f>R51</f>
        <v>14253807000</v>
      </c>
      <c r="V52" s="374">
        <f>V51+S51+S50</f>
        <v>16075130327.382278</v>
      </c>
      <c r="W52" s="375"/>
      <c r="X52" s="375"/>
      <c r="Y52" s="376"/>
      <c r="Z52" s="377">
        <f>Y51+AB51+AE51+AF51</f>
        <v>34233000196.099998</v>
      </c>
      <c r="AA52" s="377"/>
      <c r="AB52" s="377"/>
      <c r="AC52" s="377"/>
      <c r="AD52" s="377"/>
      <c r="AE52" s="377"/>
      <c r="AF52" s="377"/>
      <c r="AG52" s="377"/>
      <c r="AH52" s="377"/>
      <c r="AI52" s="378"/>
      <c r="AJ52" s="379">
        <f>AG51+AH51+AI51</f>
        <v>6649842780.1999998</v>
      </c>
      <c r="AK52" s="380"/>
      <c r="AL52" s="380"/>
      <c r="AM52" s="381">
        <f>AJ51+AK51</f>
        <v>6244117040.4400005</v>
      </c>
      <c r="AN52" s="381"/>
      <c r="AO52" s="371">
        <f>AN51</f>
        <v>7068863855</v>
      </c>
      <c r="AP52" s="371"/>
      <c r="AQ52" s="371"/>
    </row>
    <row r="53" spans="1:47" ht="16" x14ac:dyDescent="0.2">
      <c r="Z53" s="281"/>
      <c r="AA53" s="281"/>
      <c r="AB53" s="281"/>
      <c r="AC53" s="281"/>
      <c r="AD53" s="281"/>
      <c r="AE53" s="281"/>
      <c r="AF53" s="281"/>
      <c r="AG53" s="281"/>
      <c r="AH53" s="281"/>
      <c r="AI53" s="281"/>
      <c r="AJ53" s="282"/>
      <c r="AK53" s="283"/>
      <c r="AL53" s="282"/>
      <c r="AQ53" s="284"/>
    </row>
    <row r="54" spans="1:47" ht="16" x14ac:dyDescent="0.2">
      <c r="Z54" s="281"/>
      <c r="AA54" s="281"/>
      <c r="AB54" s="281"/>
      <c r="AC54" s="281"/>
      <c r="AD54" s="281"/>
      <c r="AE54" s="281"/>
      <c r="AF54" s="281"/>
      <c r="AG54" s="281"/>
      <c r="AH54" s="281"/>
      <c r="AI54" s="281"/>
      <c r="AJ54" s="282"/>
      <c r="AK54" s="283"/>
      <c r="AL54" s="283"/>
    </row>
    <row r="55" spans="1:47" ht="16" x14ac:dyDescent="0.2">
      <c r="B55" s="372" t="s">
        <v>82</v>
      </c>
      <c r="C55" s="372"/>
      <c r="D55" s="372"/>
      <c r="Z55" s="281">
        <v>273677475</v>
      </c>
      <c r="AA55" s="281"/>
      <c r="AB55" s="281"/>
      <c r="AC55" s="281"/>
      <c r="AD55" s="281"/>
      <c r="AE55" s="281"/>
      <c r="AF55" s="281"/>
      <c r="AG55" s="281"/>
      <c r="AH55" s="281"/>
      <c r="AI55" s="281"/>
      <c r="AJ55" s="282"/>
      <c r="AK55" s="283"/>
      <c r="AL55" s="283"/>
    </row>
    <row r="56" spans="1:47" ht="32" x14ac:dyDescent="0.2">
      <c r="B56" s="285" t="s">
        <v>14</v>
      </c>
      <c r="C56" s="286">
        <f>D51</f>
        <v>130884988283</v>
      </c>
      <c r="D56" s="287">
        <f>C56/C59</f>
        <v>0.63063818439100261</v>
      </c>
      <c r="E56" s="288"/>
      <c r="F56" s="288"/>
      <c r="Z56" s="281">
        <v>742275780</v>
      </c>
      <c r="AA56" s="281"/>
      <c r="AB56" s="281"/>
      <c r="AC56" s="281"/>
      <c r="AD56" s="281"/>
      <c r="AE56" s="281"/>
      <c r="AF56" s="281"/>
      <c r="AG56" s="281"/>
      <c r="AH56" s="281"/>
      <c r="AI56" s="281"/>
      <c r="AJ56" s="282"/>
      <c r="AK56" s="283"/>
      <c r="AL56" s="283"/>
    </row>
    <row r="57" spans="1:47" ht="32" x14ac:dyDescent="0.2">
      <c r="B57" s="285" t="s">
        <v>83</v>
      </c>
      <c r="C57" s="286">
        <f>E51</f>
        <v>34533469792</v>
      </c>
      <c r="D57" s="287">
        <f>C57/C59</f>
        <v>0.16639131023383424</v>
      </c>
      <c r="E57" s="288"/>
      <c r="F57" s="288"/>
      <c r="Z57" s="281">
        <v>3016452757</v>
      </c>
      <c r="AA57" s="281"/>
      <c r="AB57" s="281"/>
      <c r="AC57" s="281"/>
      <c r="AD57" s="281"/>
      <c r="AE57" s="281"/>
      <c r="AF57" s="281"/>
      <c r="AG57" s="281"/>
      <c r="AH57" s="281"/>
      <c r="AI57" s="281"/>
      <c r="AJ57" s="282"/>
      <c r="AK57" s="283"/>
      <c r="AL57" s="283"/>
    </row>
    <row r="58" spans="1:47" ht="16" x14ac:dyDescent="0.2">
      <c r="B58" s="285" t="s">
        <v>15</v>
      </c>
      <c r="C58" s="289">
        <f>+F51</f>
        <v>42125251650.400764</v>
      </c>
      <c r="D58" s="287">
        <f>C58/C59</f>
        <v>0.2029705053751632</v>
      </c>
      <c r="E58" s="288"/>
      <c r="F58" s="288"/>
      <c r="Z58" s="281">
        <v>1977861007</v>
      </c>
      <c r="AA58" s="281"/>
      <c r="AB58" s="281"/>
      <c r="AC58" s="281"/>
      <c r="AD58" s="281"/>
      <c r="AE58" s="281"/>
      <c r="AF58" s="281"/>
      <c r="AG58" s="281"/>
      <c r="AH58" s="281"/>
      <c r="AI58" s="281"/>
      <c r="AJ58" s="282"/>
      <c r="AK58" s="283"/>
      <c r="AL58" s="283"/>
    </row>
    <row r="59" spans="1:47" ht="48" x14ac:dyDescent="0.2">
      <c r="B59" s="285" t="s">
        <v>84</v>
      </c>
      <c r="C59" s="286">
        <f>+C56+C57+C58</f>
        <v>207543709725.40076</v>
      </c>
      <c r="D59" s="290">
        <f>SUM(D56:D58)</f>
        <v>1</v>
      </c>
      <c r="E59" s="288"/>
      <c r="F59" s="288"/>
      <c r="Z59" s="281">
        <f>SUM(Z55:Z58)</f>
        <v>6010267019</v>
      </c>
      <c r="AA59" s="281"/>
      <c r="AB59" s="281"/>
      <c r="AC59" s="281"/>
      <c r="AD59" s="281"/>
      <c r="AE59" s="281"/>
      <c r="AF59" s="281"/>
      <c r="AG59" s="281"/>
      <c r="AH59" s="281"/>
      <c r="AI59" s="281"/>
      <c r="AJ59" s="282"/>
      <c r="AK59" s="283"/>
      <c r="AL59" s="283"/>
    </row>
    <row r="60" spans="1:47" ht="16" x14ac:dyDescent="0.2">
      <c r="Z60" s="281"/>
      <c r="AA60" s="281"/>
      <c r="AB60" s="281"/>
      <c r="AC60" s="281"/>
      <c r="AD60" s="281"/>
      <c r="AE60" s="281"/>
      <c r="AF60" s="281"/>
      <c r="AG60" s="281"/>
      <c r="AH60" s="281"/>
      <c r="AI60" s="281"/>
      <c r="AJ60" s="282"/>
      <c r="AK60" s="283"/>
      <c r="AL60" s="283"/>
    </row>
    <row r="61" spans="1:47" ht="16" x14ac:dyDescent="0.2">
      <c r="Z61" s="281">
        <f>Z52-Z59</f>
        <v>28222733177.099998</v>
      </c>
      <c r="AA61" s="281"/>
      <c r="AB61" s="281"/>
      <c r="AC61" s="281"/>
      <c r="AD61" s="281"/>
      <c r="AE61" s="281"/>
      <c r="AF61" s="281"/>
      <c r="AG61" s="281"/>
      <c r="AH61" s="281"/>
      <c r="AI61" s="281"/>
      <c r="AJ61" s="282"/>
      <c r="AK61" s="283"/>
      <c r="AL61" s="283"/>
    </row>
    <row r="62" spans="1:47" ht="16" x14ac:dyDescent="0.2">
      <c r="Z62" s="281"/>
      <c r="AA62" s="281"/>
      <c r="AB62" s="281"/>
      <c r="AC62" s="281"/>
      <c r="AD62" s="281"/>
      <c r="AE62" s="281"/>
      <c r="AF62" s="281"/>
      <c r="AG62" s="281"/>
      <c r="AH62" s="281"/>
      <c r="AI62" s="281"/>
      <c r="AJ62" s="282"/>
      <c r="AK62" s="283"/>
      <c r="AL62" s="283"/>
    </row>
    <row r="63" spans="1:47" ht="16" x14ac:dyDescent="0.2">
      <c r="Z63" s="281"/>
      <c r="AA63" s="281"/>
      <c r="AB63" s="281"/>
      <c r="AC63" s="281"/>
      <c r="AD63" s="281"/>
      <c r="AE63" s="281"/>
      <c r="AF63" s="281"/>
      <c r="AG63" s="281"/>
      <c r="AH63" s="281"/>
      <c r="AI63" s="281"/>
      <c r="AJ63" s="282"/>
      <c r="AK63" s="283"/>
      <c r="AL63" s="283"/>
    </row>
    <row r="64" spans="1:47" ht="16" x14ac:dyDescent="0.2">
      <c r="Z64" s="281"/>
      <c r="AA64" s="281"/>
      <c r="AB64" s="281"/>
      <c r="AC64" s="281"/>
      <c r="AD64" s="281"/>
      <c r="AE64" s="281"/>
      <c r="AF64" s="281"/>
      <c r="AG64" s="281"/>
      <c r="AH64" s="281"/>
      <c r="AI64" s="281"/>
      <c r="AJ64" s="282"/>
      <c r="AK64" s="283"/>
      <c r="AL64" s="283"/>
    </row>
    <row r="65" spans="22:43" ht="16" x14ac:dyDescent="0.2">
      <c r="Z65" s="281"/>
      <c r="AA65" s="281"/>
      <c r="AB65" s="281"/>
      <c r="AC65" s="281"/>
      <c r="AD65" s="281"/>
      <c r="AE65" s="281"/>
      <c r="AF65" s="281"/>
      <c r="AG65" s="281"/>
      <c r="AH65" s="281"/>
      <c r="AI65" s="281"/>
      <c r="AJ65" s="282"/>
      <c r="AK65" s="283"/>
      <c r="AL65" s="283"/>
    </row>
    <row r="67" spans="22:43" x14ac:dyDescent="0.2">
      <c r="V67" s="291" t="e">
        <f>SUM(#REF!)</f>
        <v>#REF!</v>
      </c>
      <c r="W67" s="291"/>
      <c r="X67" s="291"/>
      <c r="Y67" s="291"/>
      <c r="AO67" s="291"/>
      <c r="AP67" s="291"/>
      <c r="AQ67" s="291"/>
    </row>
    <row r="69" spans="22:43" x14ac:dyDescent="0.2">
      <c r="V69" s="284" t="e">
        <f>S51+V67</f>
        <v>#REF!</v>
      </c>
      <c r="W69" s="284"/>
      <c r="X69" s="284"/>
      <c r="Y69" s="284"/>
      <c r="AO69" s="284"/>
      <c r="AP69" s="284"/>
      <c r="AQ69" s="284"/>
    </row>
  </sheetData>
  <mergeCells count="76">
    <mergeCell ref="AO52:AQ52"/>
    <mergeCell ref="B55:D55"/>
    <mergeCell ref="B51:C51"/>
    <mergeCell ref="V52:Y52"/>
    <mergeCell ref="Z52:AI52"/>
    <mergeCell ref="AJ52:AL52"/>
    <mergeCell ref="AM52:AN52"/>
    <mergeCell ref="AJ40:AJ45"/>
    <mergeCell ref="AK40:AK45"/>
    <mergeCell ref="K47:K48"/>
    <mergeCell ref="L47:L48"/>
    <mergeCell ref="N47:N48"/>
    <mergeCell ref="Q47:Q48"/>
    <mergeCell ref="R47:R48"/>
    <mergeCell ref="AJ47:AJ48"/>
    <mergeCell ref="AK47:AK48"/>
    <mergeCell ref="K40:K45"/>
    <mergeCell ref="L40:L45"/>
    <mergeCell ref="N40:N45"/>
    <mergeCell ref="Q40:Q45"/>
    <mergeCell ref="R40:R45"/>
    <mergeCell ref="AJ21:AJ23"/>
    <mergeCell ref="AK21:AK23"/>
    <mergeCell ref="AJ25:AJ26"/>
    <mergeCell ref="AK25:AK26"/>
    <mergeCell ref="K28:K36"/>
    <mergeCell ref="L28:L36"/>
    <mergeCell ref="N28:N36"/>
    <mergeCell ref="Q28:Q36"/>
    <mergeCell ref="R28:R36"/>
    <mergeCell ref="AJ28:AJ36"/>
    <mergeCell ref="AK28:AK36"/>
    <mergeCell ref="K25:K26"/>
    <mergeCell ref="L25:L26"/>
    <mergeCell ref="N25:N26"/>
    <mergeCell ref="Q25:Q26"/>
    <mergeCell ref="R25:R26"/>
    <mergeCell ref="K21:K23"/>
    <mergeCell ref="L21:L23"/>
    <mergeCell ref="N21:N23"/>
    <mergeCell ref="Q21:Q23"/>
    <mergeCell ref="R21:R23"/>
    <mergeCell ref="AJ4:AJ5"/>
    <mergeCell ref="AK4:AK5"/>
    <mergeCell ref="F7:F15"/>
    <mergeCell ref="K7:K15"/>
    <mergeCell ref="L7:L15"/>
    <mergeCell ref="N7:N15"/>
    <mergeCell ref="O7:O15"/>
    <mergeCell ref="Q7:Q15"/>
    <mergeCell ref="R7:R15"/>
    <mergeCell ref="K4:K5"/>
    <mergeCell ref="L4:L5"/>
    <mergeCell ref="N4:N5"/>
    <mergeCell ref="Q4:Q5"/>
    <mergeCell ref="R4:R5"/>
    <mergeCell ref="AJ7:AJ15"/>
    <mergeCell ref="AK7:AK15"/>
    <mergeCell ref="B1:B3"/>
    <mergeCell ref="C1:C3"/>
    <mergeCell ref="G1:G3"/>
    <mergeCell ref="H1:H3"/>
    <mergeCell ref="I1:L2"/>
    <mergeCell ref="AU1:AU3"/>
    <mergeCell ref="D1:F2"/>
    <mergeCell ref="AR1:AR3"/>
    <mergeCell ref="AS1:AS3"/>
    <mergeCell ref="AT1:AT3"/>
    <mergeCell ref="M1:N2"/>
    <mergeCell ref="AJ1:AK2"/>
    <mergeCell ref="AL1:AN2"/>
    <mergeCell ref="O2:R2"/>
    <mergeCell ref="T2:V2"/>
    <mergeCell ref="W2:AF2"/>
    <mergeCell ref="AG2:AI2"/>
    <mergeCell ref="O1:AI1"/>
  </mergeCells>
  <printOptions horizontalCentered="1"/>
  <pageMargins left="0.25" right="0.25" top="0.75" bottom="0.75" header="0.3" footer="0.3"/>
  <pageSetup scale="6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E01682482F17647B6FDBE8915D42A01" ma:contentTypeVersion="8" ma:contentTypeDescription="Crear nuevo documento." ma:contentTypeScope="" ma:versionID="a57cdde092a6dfb7838078b8d82d4f23">
  <xsd:schema xmlns:xsd="http://www.w3.org/2001/XMLSchema" xmlns:xs="http://www.w3.org/2001/XMLSchema" xmlns:p="http://schemas.microsoft.com/office/2006/metadata/properties" xmlns:ns2="95f6635b-f59f-440f-9d2e-f5ae66712f60" xmlns:ns3="c3635191-6513-4096-838d-59913bcd3e36" targetNamespace="http://schemas.microsoft.com/office/2006/metadata/properties" ma:root="true" ma:fieldsID="5ece4da89d65134eeab3e074978b58f6" ns2:_="" ns3:_="">
    <xsd:import namespace="95f6635b-f59f-440f-9d2e-f5ae66712f60"/>
    <xsd:import namespace="c3635191-6513-4096-838d-59913bcd3e3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noticiaasociad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f6635b-f59f-440f-9d2e-f5ae66712f6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635191-6513-4096-838d-59913bcd3e36" elementFormDefault="qualified">
    <xsd:import namespace="http://schemas.microsoft.com/office/2006/documentManagement/types"/>
    <xsd:import namespace="http://schemas.microsoft.com/office/infopath/2007/PartnerControls"/>
    <xsd:element name="noticiaasociada" ma:index="9" nillable="true" ma:displayName="Noticia Asociada" ma:list="{f2b50d8c-54c9-41de-9b95-f0d6fa7ae2e8}" ma:internalName="noticiaasociada" ma:readOnly="false" ma:showField="Title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iciaasociada xmlns="c3635191-6513-4096-838d-59913bcd3e36">6478</noticiaasociada>
  </documentManagement>
</p:properties>
</file>

<file path=customXml/itemProps1.xml><?xml version="1.0" encoding="utf-8"?>
<ds:datastoreItem xmlns:ds="http://schemas.openxmlformats.org/officeDocument/2006/customXml" ds:itemID="{7011DB76-B3A4-404A-BB42-074AEBE70564}"/>
</file>

<file path=customXml/itemProps2.xml><?xml version="1.0" encoding="utf-8"?>
<ds:datastoreItem xmlns:ds="http://schemas.openxmlformats.org/officeDocument/2006/customXml" ds:itemID="{E410BE85-0091-459A-AC16-0CEC9DDE5FD2}"/>
</file>

<file path=customXml/itemProps3.xml><?xml version="1.0" encoding="utf-8"?>
<ds:datastoreItem xmlns:ds="http://schemas.openxmlformats.org/officeDocument/2006/customXml" ds:itemID="{9699735E-2B90-4F08-9286-278B8D9B8F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ACTUAL - 2019 (eject)</vt:lpstr>
      <vt:lpstr>'ACTUAL - 2019 (eject)'!Área_de_impresión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Barba Ríos</dc:creator>
  <cp:lastModifiedBy>Microsoft Office User</cp:lastModifiedBy>
  <dcterms:created xsi:type="dcterms:W3CDTF">2019-09-16T16:19:43Z</dcterms:created>
  <dcterms:modified xsi:type="dcterms:W3CDTF">2019-09-16T19:51:55Z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0x0101001E01682482F17647B6FDBE8915D42A01</vt:lpwstr>
  </property>
</Properties>
</file>